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Ricardo\Documents\Tabela Emolumentos\2025\"/>
    </mc:Choice>
  </mc:AlternateContent>
  <xr:revisionPtr revIDLastSave="0" documentId="13_ncr:1_{1D9F6337-491D-41DA-B493-7DDB2C5C7678}" xr6:coauthVersionLast="47" xr6:coauthVersionMax="47" xr10:uidLastSave="{00000000-0000-0000-0000-000000000000}"/>
  <bookViews>
    <workbookView xWindow="-120" yWindow="-120" windowWidth="24240" windowHeight="13740" firstSheet="1" activeTab="1" xr2:uid="{00000000-000D-0000-FFFF-FFFF00000000}"/>
  </bookViews>
  <sheets>
    <sheet name="MATRIZ" sheetId="11" state="hidden" r:id="rId1"/>
    <sheet name="Notas" sheetId="10" r:id="rId2"/>
    <sheet name="Notas-AtoAdicional" sheetId="5" r:id="rId3"/>
    <sheet name="R G I" sheetId="3" r:id="rId4"/>
    <sheet name="PROTESTO" sheetId="8" r:id="rId5"/>
    <sheet name="RCPJ" sheetId="9" r:id="rId6"/>
    <sheet name="RTD" sheetId="6" r:id="rId7"/>
    <sheet name="Resumo" sheetId="12" state="hidden" r:id="rId8"/>
    <sheet name="Notas-Mural" sheetId="13" state="hidden" r:id="rId9"/>
    <sheet name="RGI-Mural" sheetId="17" state="hidden" r:id="rId10"/>
    <sheet name="Protesto-Mural" sheetId="16" state="hidden" r:id="rId11"/>
    <sheet name="PJ-Mural" sheetId="15" state="hidden" r:id="rId12"/>
    <sheet name="TD-Mural" sheetId="14" state="hidden" r:id="rId13"/>
  </sheets>
  <definedNames>
    <definedName name="_xlnm.Print_Area" localSheetId="5">RCPJ!$B$1:$P$32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8" l="1"/>
  <c r="G90" i="8"/>
  <c r="G89" i="8"/>
  <c r="G88" i="8" l="1"/>
  <c r="G87" i="8"/>
  <c r="G86" i="8"/>
  <c r="O75" i="8" l="1"/>
  <c r="O74" i="8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G28" i="10" l="1"/>
  <c r="E32" i="3"/>
  <c r="B26" i="17"/>
  <c r="C60" i="13"/>
  <c r="D13" i="13"/>
  <c r="D60" i="13" s="1"/>
  <c r="C13" i="13"/>
  <c r="Q27" i="10" l="1"/>
  <c r="P27" i="10"/>
  <c r="G17" i="10" l="1"/>
  <c r="G18" i="10"/>
  <c r="G19" i="10"/>
  <c r="G20" i="10"/>
  <c r="G21" i="10"/>
  <c r="G22" i="10"/>
  <c r="G23" i="10"/>
  <c r="G24" i="10"/>
  <c r="G29" i="10"/>
  <c r="G31" i="10"/>
  <c r="G32" i="10"/>
  <c r="G34" i="10"/>
  <c r="G35" i="10"/>
  <c r="G37" i="10"/>
  <c r="G38" i="10"/>
  <c r="G39" i="10"/>
  <c r="G40" i="10"/>
  <c r="G41" i="10"/>
  <c r="G42" i="10"/>
  <c r="I349" i="11" l="1"/>
  <c r="I186" i="11"/>
  <c r="O116" i="3" l="1"/>
  <c r="L28" i="10"/>
  <c r="G114" i="17" l="1"/>
  <c r="F55" i="17"/>
  <c r="F56" i="17"/>
  <c r="F57" i="17"/>
  <c r="F54" i="17"/>
  <c r="B54" i="17"/>
  <c r="B42" i="17"/>
  <c r="B63" i="17" s="1"/>
  <c r="B76" i="17" s="1"/>
  <c r="B38" i="17"/>
  <c r="B50" i="17" s="1"/>
  <c r="B71" i="17" s="1"/>
  <c r="B84" i="17" s="1"/>
  <c r="F69" i="3"/>
  <c r="F70" i="3"/>
  <c r="F71" i="3"/>
  <c r="C72" i="3" s="1"/>
  <c r="F68" i="3"/>
  <c r="B68" i="3"/>
  <c r="E47" i="3"/>
  <c r="E62" i="3" s="1"/>
  <c r="E72" i="3" s="1"/>
  <c r="E86" i="3" s="1"/>
  <c r="E100" i="3" s="1"/>
  <c r="B24" i="3"/>
  <c r="B39" i="3" s="1"/>
  <c r="B54" i="3" s="1"/>
  <c r="B78" i="3" s="1"/>
  <c r="B92" i="3" s="1"/>
  <c r="F8" i="17"/>
  <c r="F19" i="17" s="1"/>
  <c r="F31" i="17" s="1"/>
  <c r="F43" i="17" s="1"/>
  <c r="F64" i="17" s="1"/>
  <c r="F77" i="17" s="1"/>
  <c r="F9" i="17"/>
  <c r="F20" i="17" s="1"/>
  <c r="F32" i="17" s="1"/>
  <c r="F44" i="17" s="1"/>
  <c r="F65" i="17" s="1"/>
  <c r="F78" i="17" s="1"/>
  <c r="F10" i="17"/>
  <c r="F21" i="17" s="1"/>
  <c r="F33" i="17" s="1"/>
  <c r="F45" i="17" s="1"/>
  <c r="F66" i="17" s="1"/>
  <c r="F79" i="17" s="1"/>
  <c r="F11" i="17"/>
  <c r="F22" i="17" s="1"/>
  <c r="F34" i="17" s="1"/>
  <c r="F46" i="17" s="1"/>
  <c r="F67" i="17" s="1"/>
  <c r="F80" i="17" s="1"/>
  <c r="F12" i="17"/>
  <c r="F23" i="17" s="1"/>
  <c r="F35" i="17" s="1"/>
  <c r="F47" i="17" s="1"/>
  <c r="F68" i="17" s="1"/>
  <c r="F81" i="17" s="1"/>
  <c r="F13" i="17"/>
  <c r="F24" i="17" s="1"/>
  <c r="F36" i="17" s="1"/>
  <c r="F48" i="17" s="1"/>
  <c r="F69" i="17" s="1"/>
  <c r="F82" i="17" s="1"/>
  <c r="F14" i="17"/>
  <c r="F25" i="17" s="1"/>
  <c r="F37" i="17" s="1"/>
  <c r="F49" i="17" s="1"/>
  <c r="F70" i="17" s="1"/>
  <c r="F83" i="17" s="1"/>
  <c r="F7" i="17"/>
  <c r="F18" i="17" s="1"/>
  <c r="F30" i="17" s="1"/>
  <c r="F42" i="17" s="1"/>
  <c r="F63" i="17" s="1"/>
  <c r="F76" i="17" s="1"/>
  <c r="B7" i="17"/>
  <c r="B18" i="17" s="1"/>
  <c r="B30" i="17" s="1"/>
  <c r="F10" i="3"/>
  <c r="F25" i="3" s="1"/>
  <c r="F40" i="3" s="1"/>
  <c r="F55" i="3" s="1"/>
  <c r="F79" i="3" s="1"/>
  <c r="F93" i="3" s="1"/>
  <c r="F11" i="3"/>
  <c r="F26" i="3" s="1"/>
  <c r="F41" i="3" s="1"/>
  <c r="F56" i="3" s="1"/>
  <c r="F80" i="3" s="1"/>
  <c r="F94" i="3" s="1"/>
  <c r="F12" i="3"/>
  <c r="F27" i="3" s="1"/>
  <c r="F42" i="3" s="1"/>
  <c r="F57" i="3" s="1"/>
  <c r="F81" i="3" s="1"/>
  <c r="F95" i="3" s="1"/>
  <c r="F13" i="3"/>
  <c r="F28" i="3" s="1"/>
  <c r="F43" i="3" s="1"/>
  <c r="F58" i="3" s="1"/>
  <c r="F82" i="3" s="1"/>
  <c r="F96" i="3" s="1"/>
  <c r="F14" i="3"/>
  <c r="F29" i="3" s="1"/>
  <c r="F44" i="3" s="1"/>
  <c r="F59" i="3" s="1"/>
  <c r="F83" i="3" s="1"/>
  <c r="F97" i="3" s="1"/>
  <c r="F15" i="3"/>
  <c r="F30" i="3" s="1"/>
  <c r="F45" i="3" s="1"/>
  <c r="F60" i="3" s="1"/>
  <c r="F84" i="3" s="1"/>
  <c r="F98" i="3" s="1"/>
  <c r="F16" i="3"/>
  <c r="C17" i="3" s="1"/>
  <c r="F9" i="3"/>
  <c r="F24" i="3" s="1"/>
  <c r="F39" i="3" s="1"/>
  <c r="F54" i="3" s="1"/>
  <c r="F78" i="3" s="1"/>
  <c r="F92" i="3" s="1"/>
  <c r="B9" i="3"/>
  <c r="G1" i="17"/>
  <c r="G43" i="16"/>
  <c r="G44" i="16"/>
  <c r="G45" i="16"/>
  <c r="G46" i="16"/>
  <c r="E22" i="16"/>
  <c r="E23" i="16" s="1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5" i="16"/>
  <c r="C5" i="16"/>
  <c r="G1" i="16"/>
  <c r="F1" i="15"/>
  <c r="F1" i="14"/>
  <c r="F2" i="13"/>
  <c r="F8" i="9"/>
  <c r="D8" i="15" s="1"/>
  <c r="F9" i="9"/>
  <c r="D9" i="15" s="1"/>
  <c r="F10" i="9"/>
  <c r="D10" i="15" s="1"/>
  <c r="F11" i="9"/>
  <c r="D11" i="15" s="1"/>
  <c r="F12" i="9"/>
  <c r="D12" i="15" s="1"/>
  <c r="F7" i="9"/>
  <c r="D7" i="15" s="1"/>
  <c r="C7" i="9"/>
  <c r="B7" i="15" s="1"/>
  <c r="G41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5" i="14"/>
  <c r="C5" i="14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6" i="6"/>
  <c r="C6" i="6"/>
  <c r="E24" i="10"/>
  <c r="B17" i="10"/>
  <c r="E6" i="10"/>
  <c r="E18" i="10" s="1"/>
  <c r="E7" i="10"/>
  <c r="E19" i="10" s="1"/>
  <c r="E8" i="10"/>
  <c r="E66" i="10" s="1"/>
  <c r="E55" i="13" s="1"/>
  <c r="E9" i="10"/>
  <c r="E21" i="10" s="1"/>
  <c r="E10" i="10"/>
  <c r="E22" i="10" s="1"/>
  <c r="E11" i="10"/>
  <c r="E69" i="10" s="1"/>
  <c r="E58" i="13" s="1"/>
  <c r="E12" i="10"/>
  <c r="E70" i="10" s="1"/>
  <c r="E59" i="13" s="1"/>
  <c r="E5" i="10"/>
  <c r="E63" i="10" s="1"/>
  <c r="E52" i="13" s="1"/>
  <c r="B5" i="10"/>
  <c r="B63" i="10" s="1"/>
  <c r="B52" i="13" s="1"/>
  <c r="E6" i="13"/>
  <c r="E7" i="13"/>
  <c r="E8" i="13"/>
  <c r="E9" i="13"/>
  <c r="E10" i="13"/>
  <c r="E11" i="13"/>
  <c r="E12" i="13"/>
  <c r="E5" i="13"/>
  <c r="B5" i="13"/>
  <c r="E45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27" i="8"/>
  <c r="C27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 s="1"/>
  <c r="E4" i="8"/>
  <c r="C4" i="8"/>
  <c r="E68" i="10" l="1"/>
  <c r="E57" i="13" s="1"/>
  <c r="E64" i="10"/>
  <c r="E53" i="13" s="1"/>
  <c r="E23" i="10"/>
  <c r="E67" i="10"/>
  <c r="E56" i="13" s="1"/>
  <c r="E20" i="10"/>
  <c r="E65" i="10"/>
  <c r="E54" i="13" s="1"/>
  <c r="E17" i="10"/>
  <c r="F31" i="3"/>
  <c r="G60" i="12"/>
  <c r="E13" i="12"/>
  <c r="E12" i="12"/>
  <c r="E11" i="12"/>
  <c r="E10" i="12"/>
  <c r="E9" i="12"/>
  <c r="E8" i="12"/>
  <c r="E7" i="12"/>
  <c r="E6" i="12"/>
  <c r="B6" i="12"/>
  <c r="C32" i="3" l="1"/>
  <c r="C47" i="3" s="1"/>
  <c r="C62" i="3" s="1"/>
  <c r="F46" i="3"/>
  <c r="F61" i="3" s="1"/>
  <c r="F85" i="3" s="1"/>
  <c r="Q47" i="10"/>
  <c r="Q48" i="10"/>
  <c r="Q49" i="10"/>
  <c r="Q46" i="10"/>
  <c r="F99" i="3" l="1"/>
  <c r="C100" i="3" s="1"/>
  <c r="C86" i="3"/>
  <c r="Q89" i="10" l="1"/>
  <c r="Q86" i="10"/>
  <c r="M26" i="10"/>
  <c r="G19" i="13" s="1"/>
  <c r="F27" i="10"/>
  <c r="G18" i="12" s="1"/>
  <c r="D253" i="11" l="1"/>
  <c r="C252" i="11"/>
  <c r="C44" i="8" s="1"/>
  <c r="C251" i="11"/>
  <c r="C43" i="8" s="1"/>
  <c r="C250" i="11"/>
  <c r="C42" i="8" s="1"/>
  <c r="C249" i="11"/>
  <c r="C41" i="8" s="1"/>
  <c r="C248" i="11"/>
  <c r="C40" i="8" s="1"/>
  <c r="C247" i="11"/>
  <c r="C39" i="8" s="1"/>
  <c r="C246" i="11"/>
  <c r="C38" i="8" s="1"/>
  <c r="C245" i="11"/>
  <c r="C37" i="8" s="1"/>
  <c r="C244" i="11"/>
  <c r="C36" i="8" s="1"/>
  <c r="C243" i="11"/>
  <c r="C35" i="8" s="1"/>
  <c r="C242" i="11"/>
  <c r="C34" i="8" s="1"/>
  <c r="C241" i="11"/>
  <c r="C33" i="8" s="1"/>
  <c r="C240" i="11"/>
  <c r="C32" i="8" s="1"/>
  <c r="C239" i="11"/>
  <c r="C31" i="8" s="1"/>
  <c r="C238" i="11"/>
  <c r="C30" i="8" s="1"/>
  <c r="C237" i="11"/>
  <c r="C29" i="8" s="1"/>
  <c r="C236" i="11"/>
  <c r="C28" i="8" s="1"/>
  <c r="H151" i="11" l="1"/>
  <c r="M14" i="10" s="1"/>
  <c r="C386" i="11"/>
  <c r="C392" i="11"/>
  <c r="L88" i="8" s="1"/>
  <c r="N87" i="8"/>
  <c r="N88" i="8"/>
  <c r="N89" i="8"/>
  <c r="N90" i="8"/>
  <c r="N91" i="8"/>
  <c r="N92" i="8"/>
  <c r="N86" i="8"/>
  <c r="M85" i="8"/>
  <c r="N83" i="8"/>
  <c r="N81" i="8"/>
  <c r="G96" i="8"/>
  <c r="G95" i="8"/>
  <c r="G94" i="8"/>
  <c r="G93" i="8"/>
  <c r="G92" i="8"/>
  <c r="G85" i="8"/>
  <c r="G84" i="8"/>
  <c r="G83" i="8"/>
  <c r="G81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50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27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50" i="8"/>
  <c r="F51" i="8"/>
  <c r="F52" i="8"/>
  <c r="F53" i="8"/>
  <c r="F54" i="8"/>
  <c r="F55" i="8"/>
  <c r="F56" i="8"/>
  <c r="F57" i="8"/>
  <c r="F58" i="8"/>
  <c r="F59" i="8"/>
  <c r="F60" i="8"/>
  <c r="I60" i="8" s="1"/>
  <c r="F61" i="8"/>
  <c r="F62" i="8"/>
  <c r="F63" i="8"/>
  <c r="F64" i="8"/>
  <c r="F65" i="8"/>
  <c r="F66" i="8"/>
  <c r="F67" i="8"/>
  <c r="F68" i="8"/>
  <c r="F69" i="8"/>
  <c r="F70" i="8"/>
  <c r="F71" i="8"/>
  <c r="F72" i="8"/>
  <c r="I72" i="8" s="1"/>
  <c r="F73" i="8"/>
  <c r="F74" i="8"/>
  <c r="F75" i="8"/>
  <c r="F50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4" i="8"/>
  <c r="B1" i="6"/>
  <c r="B1" i="8"/>
  <c r="O52" i="6"/>
  <c r="O41" i="6"/>
  <c r="O42" i="6"/>
  <c r="O43" i="6"/>
  <c r="O44" i="6"/>
  <c r="O57" i="6"/>
  <c r="O58" i="6"/>
  <c r="O59" i="6"/>
  <c r="O60" i="6"/>
  <c r="O61" i="6"/>
  <c r="O62" i="6"/>
  <c r="O63" i="6"/>
  <c r="O64" i="6"/>
  <c r="O65" i="6"/>
  <c r="O66" i="6"/>
  <c r="O67" i="6"/>
  <c r="O68" i="6"/>
  <c r="O56" i="6"/>
  <c r="O51" i="6"/>
  <c r="O50" i="6"/>
  <c r="O49" i="6"/>
  <c r="O46" i="6"/>
  <c r="O40" i="6"/>
  <c r="O38" i="6"/>
  <c r="G38" i="6"/>
  <c r="O37" i="6"/>
  <c r="G37" i="6"/>
  <c r="O36" i="6"/>
  <c r="G36" i="6"/>
  <c r="O34" i="6"/>
  <c r="G34" i="6"/>
  <c r="O32" i="6"/>
  <c r="G32" i="6"/>
  <c r="G57" i="6"/>
  <c r="L57" i="6" s="1"/>
  <c r="G58" i="6"/>
  <c r="L58" i="6" s="1"/>
  <c r="G59" i="6"/>
  <c r="L59" i="6" s="1"/>
  <c r="G60" i="6"/>
  <c r="L60" i="6" s="1"/>
  <c r="G61" i="6"/>
  <c r="L61" i="6" s="1"/>
  <c r="G62" i="6"/>
  <c r="L62" i="6" s="1"/>
  <c r="G63" i="6"/>
  <c r="L63" i="6" s="1"/>
  <c r="G64" i="6"/>
  <c r="L64" i="6" s="1"/>
  <c r="G65" i="6"/>
  <c r="L65" i="6" s="1"/>
  <c r="G66" i="6"/>
  <c r="L66" i="6" s="1"/>
  <c r="G67" i="6"/>
  <c r="L67" i="6" s="1"/>
  <c r="G68" i="6"/>
  <c r="L68" i="6" s="1"/>
  <c r="G56" i="6"/>
  <c r="L56" i="6" s="1"/>
  <c r="G54" i="6"/>
  <c r="G53" i="6"/>
  <c r="G52" i="6"/>
  <c r="L52" i="6" s="1"/>
  <c r="G51" i="6"/>
  <c r="L51" i="6" s="1"/>
  <c r="G50" i="6"/>
  <c r="L50" i="6" s="1"/>
  <c r="G49" i="6"/>
  <c r="L49" i="6" s="1"/>
  <c r="G48" i="6"/>
  <c r="G47" i="6"/>
  <c r="G46" i="6"/>
  <c r="L46" i="6" s="1"/>
  <c r="G45" i="6"/>
  <c r="G44" i="6"/>
  <c r="G43" i="6"/>
  <c r="G42" i="6"/>
  <c r="G41" i="6"/>
  <c r="G39" i="6"/>
  <c r="L39" i="6" s="1"/>
  <c r="G40" i="6"/>
  <c r="G8" i="6"/>
  <c r="O8" i="6"/>
  <c r="G9" i="6"/>
  <c r="M9" i="6" s="1"/>
  <c r="K9" i="6"/>
  <c r="O9" i="6"/>
  <c r="G10" i="6"/>
  <c r="O10" i="6"/>
  <c r="G11" i="6"/>
  <c r="O11" i="6"/>
  <c r="G12" i="6"/>
  <c r="O12" i="6"/>
  <c r="G13" i="6"/>
  <c r="O13" i="6"/>
  <c r="G14" i="6"/>
  <c r="K14" i="6" s="1"/>
  <c r="O14" i="6"/>
  <c r="G15" i="6"/>
  <c r="O15" i="6"/>
  <c r="G16" i="6"/>
  <c r="O16" i="6"/>
  <c r="G17" i="6"/>
  <c r="O17" i="6"/>
  <c r="G18" i="6"/>
  <c r="O18" i="6"/>
  <c r="G19" i="6"/>
  <c r="O19" i="6"/>
  <c r="G20" i="6"/>
  <c r="O20" i="6"/>
  <c r="G21" i="6"/>
  <c r="O21" i="6"/>
  <c r="G22" i="6"/>
  <c r="O22" i="6"/>
  <c r="G23" i="6"/>
  <c r="O23" i="6"/>
  <c r="G24" i="6"/>
  <c r="O24" i="6"/>
  <c r="G25" i="6"/>
  <c r="O25" i="6"/>
  <c r="G26" i="6"/>
  <c r="O26" i="6"/>
  <c r="G27" i="6"/>
  <c r="O27" i="6"/>
  <c r="G28" i="6"/>
  <c r="O28" i="6"/>
  <c r="G29" i="6"/>
  <c r="O29" i="6"/>
  <c r="G30" i="6"/>
  <c r="O30" i="6"/>
  <c r="G7" i="6"/>
  <c r="O7" i="6"/>
  <c r="O6" i="6"/>
  <c r="G6" i="6"/>
  <c r="O40" i="5"/>
  <c r="O55" i="5"/>
  <c r="O52" i="5"/>
  <c r="O49" i="5"/>
  <c r="O46" i="5"/>
  <c r="O43" i="5"/>
  <c r="O37" i="5"/>
  <c r="O34" i="5"/>
  <c r="B1" i="5"/>
  <c r="B1" i="10"/>
  <c r="B1" i="3"/>
  <c r="B1" i="9"/>
  <c r="Q54" i="5"/>
  <c r="Q53" i="5"/>
  <c r="P53" i="5"/>
  <c r="P55" i="5" s="1"/>
  <c r="Q51" i="5"/>
  <c r="Q50" i="5"/>
  <c r="P50" i="5"/>
  <c r="P52" i="5" s="1"/>
  <c r="Q48" i="5"/>
  <c r="Q47" i="5"/>
  <c r="P47" i="5"/>
  <c r="P49" i="5" s="1"/>
  <c r="Q45" i="5"/>
  <c r="Q44" i="5"/>
  <c r="P44" i="5"/>
  <c r="P46" i="5" s="1"/>
  <c r="Q42" i="5"/>
  <c r="Q41" i="5"/>
  <c r="P41" i="5"/>
  <c r="P43" i="5" s="1"/>
  <c r="Q39" i="5"/>
  <c r="Q38" i="5"/>
  <c r="P38" i="5"/>
  <c r="P40" i="5" s="1"/>
  <c r="Q36" i="5"/>
  <c r="Q35" i="5"/>
  <c r="P35" i="5"/>
  <c r="P37" i="5" s="1"/>
  <c r="G32" i="5"/>
  <c r="P32" i="5"/>
  <c r="P34" i="5" s="1"/>
  <c r="Q32" i="5"/>
  <c r="Q33" i="5"/>
  <c r="G54" i="5"/>
  <c r="G51" i="5"/>
  <c r="L51" i="5" s="1"/>
  <c r="G48" i="5"/>
  <c r="G45" i="5"/>
  <c r="L45" i="5" s="1"/>
  <c r="G42" i="5"/>
  <c r="G39" i="5"/>
  <c r="L39" i="5" s="1"/>
  <c r="G36" i="5"/>
  <c r="G33" i="5"/>
  <c r="L33" i="5" s="1"/>
  <c r="G53" i="5"/>
  <c r="L53" i="5" s="1"/>
  <c r="G50" i="5"/>
  <c r="G47" i="5"/>
  <c r="L47" i="5" s="1"/>
  <c r="G44" i="5"/>
  <c r="G41" i="5"/>
  <c r="L41" i="5" s="1"/>
  <c r="G38" i="5"/>
  <c r="G35" i="5"/>
  <c r="L35" i="5" s="1"/>
  <c r="O27" i="5"/>
  <c r="O24" i="5"/>
  <c r="O21" i="5"/>
  <c r="O18" i="5"/>
  <c r="O15" i="5"/>
  <c r="O12" i="5"/>
  <c r="O9" i="5"/>
  <c r="Q26" i="5"/>
  <c r="Q25" i="5"/>
  <c r="P25" i="5"/>
  <c r="P27" i="5" s="1"/>
  <c r="Q23" i="5"/>
  <c r="Q22" i="5"/>
  <c r="P22" i="5"/>
  <c r="P24" i="5" s="1"/>
  <c r="Q20" i="5"/>
  <c r="Q19" i="5"/>
  <c r="P19" i="5"/>
  <c r="P21" i="5" s="1"/>
  <c r="Q17" i="5"/>
  <c r="Q16" i="5"/>
  <c r="P16" i="5"/>
  <c r="P18" i="5" s="1"/>
  <c r="Q14" i="5"/>
  <c r="Q13" i="5"/>
  <c r="P13" i="5"/>
  <c r="P15" i="5" s="1"/>
  <c r="Q11" i="5"/>
  <c r="Q10" i="5"/>
  <c r="P10" i="5"/>
  <c r="P12" i="5" s="1"/>
  <c r="Q8" i="5"/>
  <c r="Q7" i="5"/>
  <c r="P7" i="5"/>
  <c r="P9" i="5" s="1"/>
  <c r="P4" i="5"/>
  <c r="P6" i="5" s="1"/>
  <c r="O6" i="5"/>
  <c r="G26" i="5"/>
  <c r="L26" i="5" s="1"/>
  <c r="G23" i="5"/>
  <c r="G20" i="5"/>
  <c r="L20" i="5" s="1"/>
  <c r="G17" i="5"/>
  <c r="G16" i="5"/>
  <c r="L16" i="5" s="1"/>
  <c r="G14" i="5"/>
  <c r="L14" i="5" s="1"/>
  <c r="G11" i="5"/>
  <c r="G8" i="5"/>
  <c r="L8" i="5" s="1"/>
  <c r="G25" i="5"/>
  <c r="G22" i="5"/>
  <c r="L22" i="5" s="1"/>
  <c r="G19" i="5"/>
  <c r="G13" i="5"/>
  <c r="L13" i="5" s="1"/>
  <c r="G10" i="5"/>
  <c r="L10" i="5" s="1"/>
  <c r="G7" i="5"/>
  <c r="L7" i="5" s="1"/>
  <c r="Q5" i="5"/>
  <c r="Q4" i="5"/>
  <c r="G5" i="5"/>
  <c r="G4" i="5"/>
  <c r="L4" i="5" s="1"/>
  <c r="Q84" i="10"/>
  <c r="Q82" i="10"/>
  <c r="Q81" i="10"/>
  <c r="Q75" i="10"/>
  <c r="Q77" i="10"/>
  <c r="Q78" i="10"/>
  <c r="Q79" i="10"/>
  <c r="Q76" i="10"/>
  <c r="Q74" i="10"/>
  <c r="Q73" i="10"/>
  <c r="Q64" i="10"/>
  <c r="Q65" i="10"/>
  <c r="Q66" i="10"/>
  <c r="Q67" i="10"/>
  <c r="Q68" i="10"/>
  <c r="Q69" i="10"/>
  <c r="Q70" i="10"/>
  <c r="Q63" i="10"/>
  <c r="Q58" i="10"/>
  <c r="Q59" i="10"/>
  <c r="Q57" i="10"/>
  <c r="Q55" i="10"/>
  <c r="Q54" i="10"/>
  <c r="Q43" i="10"/>
  <c r="Q41" i="10"/>
  <c r="Q40" i="10"/>
  <c r="R56" i="10"/>
  <c r="Q37" i="10"/>
  <c r="Q35" i="10"/>
  <c r="Q34" i="10"/>
  <c r="Q32" i="10"/>
  <c r="Q33" i="10"/>
  <c r="Q31" i="10"/>
  <c r="Q29" i="10"/>
  <c r="Q28" i="10"/>
  <c r="Q24" i="10"/>
  <c r="P24" i="10"/>
  <c r="Q23" i="10"/>
  <c r="P23" i="10"/>
  <c r="Q22" i="10"/>
  <c r="P22" i="10"/>
  <c r="Q21" i="10"/>
  <c r="P21" i="10"/>
  <c r="Q20" i="10"/>
  <c r="P20" i="10"/>
  <c r="Q19" i="10"/>
  <c r="P19" i="10"/>
  <c r="Q18" i="10"/>
  <c r="P18" i="10"/>
  <c r="Q17" i="10"/>
  <c r="P17" i="10"/>
  <c r="P6" i="10"/>
  <c r="Q6" i="10"/>
  <c r="P7" i="10"/>
  <c r="Q7" i="10"/>
  <c r="P8" i="10"/>
  <c r="Q8" i="10"/>
  <c r="P9" i="10"/>
  <c r="Q9" i="10"/>
  <c r="P10" i="10"/>
  <c r="Q10" i="10"/>
  <c r="P11" i="10"/>
  <c r="Q11" i="10"/>
  <c r="P12" i="10"/>
  <c r="Q12" i="10"/>
  <c r="Q5" i="10"/>
  <c r="P5" i="10"/>
  <c r="G90" i="10"/>
  <c r="G89" i="10"/>
  <c r="G85" i="10"/>
  <c r="G86" i="10"/>
  <c r="G83" i="10"/>
  <c r="G84" i="10"/>
  <c r="G81" i="10"/>
  <c r="L81" i="10" s="1"/>
  <c r="G82" i="10"/>
  <c r="L82" i="10" s="1"/>
  <c r="G80" i="10"/>
  <c r="G74" i="10"/>
  <c r="G76" i="10"/>
  <c r="G77" i="10"/>
  <c r="G78" i="10"/>
  <c r="G79" i="10"/>
  <c r="G73" i="10"/>
  <c r="L73" i="10" s="1"/>
  <c r="G64" i="10"/>
  <c r="G65" i="10"/>
  <c r="G66" i="10"/>
  <c r="G67" i="10"/>
  <c r="G68" i="10"/>
  <c r="G69" i="10"/>
  <c r="G70" i="10"/>
  <c r="G63" i="10"/>
  <c r="L63" i="10" s="1"/>
  <c r="G55" i="10"/>
  <c r="L55" i="10" s="1"/>
  <c r="G56" i="10"/>
  <c r="G57" i="10"/>
  <c r="L57" i="10" s="1"/>
  <c r="G58" i="10"/>
  <c r="G59" i="10"/>
  <c r="G60" i="10"/>
  <c r="G54" i="10"/>
  <c r="L54" i="10" s="1"/>
  <c r="G47" i="10"/>
  <c r="G48" i="10"/>
  <c r="G49" i="10"/>
  <c r="G46" i="10"/>
  <c r="G44" i="10"/>
  <c r="G43" i="10"/>
  <c r="L37" i="10"/>
  <c r="L31" i="10"/>
  <c r="L29" i="10"/>
  <c r="L19" i="10"/>
  <c r="L21" i="10"/>
  <c r="L23" i="10"/>
  <c r="L17" i="10"/>
  <c r="G6" i="10"/>
  <c r="G7" i="10"/>
  <c r="G8" i="10"/>
  <c r="G9" i="10"/>
  <c r="G10" i="10"/>
  <c r="G11" i="10"/>
  <c r="G12" i="10"/>
  <c r="G5" i="10"/>
  <c r="L5" i="10" s="1"/>
  <c r="Q99" i="10"/>
  <c r="M27" i="10"/>
  <c r="L27" i="10"/>
  <c r="K27" i="10"/>
  <c r="J27" i="10"/>
  <c r="I27" i="10"/>
  <c r="H27" i="10"/>
  <c r="R106" i="3"/>
  <c r="R107" i="3"/>
  <c r="R108" i="3"/>
  <c r="R109" i="3"/>
  <c r="R110" i="3"/>
  <c r="R112" i="3"/>
  <c r="R113" i="3"/>
  <c r="R114" i="3"/>
  <c r="R115" i="3"/>
  <c r="K116" i="3"/>
  <c r="L116" i="3"/>
  <c r="M116" i="3"/>
  <c r="N116" i="3" s="1"/>
  <c r="P116" i="3"/>
  <c r="R117" i="3"/>
  <c r="R118" i="3"/>
  <c r="R122" i="3"/>
  <c r="R123" i="3"/>
  <c r="R124" i="3"/>
  <c r="R125" i="3"/>
  <c r="R126" i="3"/>
  <c r="R127" i="3"/>
  <c r="R128" i="3"/>
  <c r="R129" i="3"/>
  <c r="R130" i="3"/>
  <c r="R132" i="3"/>
  <c r="R133" i="3"/>
  <c r="R134" i="3"/>
  <c r="R137" i="3"/>
  <c r="R138" i="3"/>
  <c r="R139" i="3"/>
  <c r="R105" i="3"/>
  <c r="R93" i="3"/>
  <c r="R94" i="3"/>
  <c r="R95" i="3"/>
  <c r="R96" i="3"/>
  <c r="R97" i="3"/>
  <c r="R98" i="3"/>
  <c r="R99" i="3"/>
  <c r="I107" i="3"/>
  <c r="I106" i="3"/>
  <c r="R92" i="3"/>
  <c r="R79" i="3"/>
  <c r="R80" i="3"/>
  <c r="R81" i="3"/>
  <c r="R82" i="3"/>
  <c r="R83" i="3"/>
  <c r="R84" i="3"/>
  <c r="R85" i="3"/>
  <c r="R78" i="3"/>
  <c r="R69" i="3"/>
  <c r="R70" i="3"/>
  <c r="R71" i="3"/>
  <c r="R68" i="3"/>
  <c r="R55" i="3"/>
  <c r="R56" i="3"/>
  <c r="R57" i="3"/>
  <c r="R58" i="3"/>
  <c r="R59" i="3"/>
  <c r="R60" i="3"/>
  <c r="R61" i="3"/>
  <c r="R54" i="3"/>
  <c r="R25" i="3"/>
  <c r="R26" i="3"/>
  <c r="R27" i="3"/>
  <c r="R28" i="3"/>
  <c r="R29" i="3"/>
  <c r="R30" i="3"/>
  <c r="R31" i="3"/>
  <c r="R10" i="3"/>
  <c r="R11" i="3"/>
  <c r="R12" i="3"/>
  <c r="R13" i="3"/>
  <c r="R14" i="3"/>
  <c r="R15" i="3"/>
  <c r="R16" i="3"/>
  <c r="R9" i="3"/>
  <c r="R158" i="3"/>
  <c r="R46" i="3"/>
  <c r="R45" i="3"/>
  <c r="R44" i="3"/>
  <c r="R43" i="3"/>
  <c r="R42" i="3"/>
  <c r="R41" i="3"/>
  <c r="R40" i="3"/>
  <c r="R39" i="3"/>
  <c r="R24" i="3"/>
  <c r="R6" i="3"/>
  <c r="I112" i="3"/>
  <c r="I110" i="3"/>
  <c r="I108" i="3"/>
  <c r="I93" i="3"/>
  <c r="I94" i="3"/>
  <c r="I95" i="3"/>
  <c r="I96" i="3"/>
  <c r="I97" i="3"/>
  <c r="I98" i="3"/>
  <c r="I99" i="3"/>
  <c r="I85" i="3"/>
  <c r="I79" i="3"/>
  <c r="I80" i="3"/>
  <c r="I81" i="3"/>
  <c r="I82" i="3"/>
  <c r="I83" i="3"/>
  <c r="I84" i="3"/>
  <c r="I69" i="3"/>
  <c r="I70" i="3"/>
  <c r="I71" i="3"/>
  <c r="I55" i="3"/>
  <c r="I56" i="3"/>
  <c r="I57" i="3"/>
  <c r="I58" i="3"/>
  <c r="I59" i="3"/>
  <c r="I60" i="3"/>
  <c r="I61" i="3"/>
  <c r="I54" i="3"/>
  <c r="I40" i="3"/>
  <c r="I41" i="3"/>
  <c r="I42" i="3"/>
  <c r="I43" i="3"/>
  <c r="I44" i="3"/>
  <c r="I45" i="3"/>
  <c r="I46" i="3"/>
  <c r="I25" i="3"/>
  <c r="I26" i="3"/>
  <c r="I27" i="3"/>
  <c r="I28" i="3"/>
  <c r="I29" i="3"/>
  <c r="I30" i="3"/>
  <c r="I31" i="3"/>
  <c r="I133" i="3"/>
  <c r="I132" i="3"/>
  <c r="I127" i="3"/>
  <c r="I126" i="3"/>
  <c r="I125" i="3"/>
  <c r="I122" i="3"/>
  <c r="I117" i="3"/>
  <c r="I105" i="3"/>
  <c r="I92" i="3"/>
  <c r="I78" i="3"/>
  <c r="I68" i="3"/>
  <c r="I39" i="3"/>
  <c r="I24" i="3"/>
  <c r="I9" i="3"/>
  <c r="I10" i="3"/>
  <c r="I11" i="3"/>
  <c r="I12" i="3"/>
  <c r="I13" i="3"/>
  <c r="I14" i="3"/>
  <c r="I15" i="3"/>
  <c r="I16" i="3"/>
  <c r="I6" i="3"/>
  <c r="H140" i="3"/>
  <c r="H141" i="3"/>
  <c r="H132" i="3"/>
  <c r="H130" i="3"/>
  <c r="J130" i="3" s="1"/>
  <c r="O130" i="3" s="1"/>
  <c r="H129" i="3"/>
  <c r="J129" i="3" s="1"/>
  <c r="O129" i="3" s="1"/>
  <c r="H128" i="3"/>
  <c r="J128" i="3" s="1"/>
  <c r="O128" i="3" s="1"/>
  <c r="H125" i="3"/>
  <c r="J125" i="3" s="1"/>
  <c r="O125" i="3" s="1"/>
  <c r="H123" i="3"/>
  <c r="J123" i="3" s="1"/>
  <c r="O123" i="3" s="1"/>
  <c r="H122" i="3"/>
  <c r="J122" i="3" s="1"/>
  <c r="O122" i="3" s="1"/>
  <c r="H118" i="3"/>
  <c r="J118" i="3" s="1"/>
  <c r="O118" i="3" s="1"/>
  <c r="H117" i="3"/>
  <c r="H111" i="3"/>
  <c r="H112" i="3"/>
  <c r="H113" i="3"/>
  <c r="J113" i="3" s="1"/>
  <c r="O113" i="3" s="1"/>
  <c r="H114" i="3"/>
  <c r="J114" i="3" s="1"/>
  <c r="O114" i="3" s="1"/>
  <c r="H115" i="3"/>
  <c r="J115" i="3" s="1"/>
  <c r="O115" i="3" s="1"/>
  <c r="H108" i="3"/>
  <c r="H109" i="3"/>
  <c r="J109" i="3" s="1"/>
  <c r="O109" i="3" s="1"/>
  <c r="H110" i="3"/>
  <c r="H107" i="3"/>
  <c r="J107" i="3" s="1"/>
  <c r="O107" i="3" s="1"/>
  <c r="H106" i="3"/>
  <c r="H105" i="3"/>
  <c r="J105" i="3" s="1"/>
  <c r="O105" i="3" s="1"/>
  <c r="H93" i="3"/>
  <c r="J93" i="3" s="1"/>
  <c r="O93" i="3" s="1"/>
  <c r="H94" i="3"/>
  <c r="J94" i="3" s="1"/>
  <c r="O94" i="3" s="1"/>
  <c r="H95" i="3"/>
  <c r="H96" i="3"/>
  <c r="H97" i="3"/>
  <c r="H98" i="3"/>
  <c r="H99" i="3"/>
  <c r="H100" i="3"/>
  <c r="J100" i="3" s="1"/>
  <c r="O100" i="3" s="1"/>
  <c r="H92" i="3"/>
  <c r="H79" i="3"/>
  <c r="J79" i="3" s="1"/>
  <c r="O79" i="3" s="1"/>
  <c r="H80" i="3"/>
  <c r="J80" i="3" s="1"/>
  <c r="O80" i="3" s="1"/>
  <c r="H81" i="3"/>
  <c r="J81" i="3" s="1"/>
  <c r="O81" i="3" s="1"/>
  <c r="H82" i="3"/>
  <c r="H83" i="3"/>
  <c r="J83" i="3" s="1"/>
  <c r="O83" i="3" s="1"/>
  <c r="H84" i="3"/>
  <c r="J84" i="3" s="1"/>
  <c r="O84" i="3" s="1"/>
  <c r="H85" i="3"/>
  <c r="H86" i="3"/>
  <c r="J86" i="3" s="1"/>
  <c r="O86" i="3" s="1"/>
  <c r="H78" i="3"/>
  <c r="H69" i="3"/>
  <c r="H70" i="3"/>
  <c r="H71" i="3"/>
  <c r="H68" i="3"/>
  <c r="J68" i="3" s="1"/>
  <c r="O68" i="3" s="1"/>
  <c r="H55" i="3"/>
  <c r="J55" i="3" s="1"/>
  <c r="O55" i="3" s="1"/>
  <c r="H56" i="3"/>
  <c r="J56" i="3" s="1"/>
  <c r="O56" i="3" s="1"/>
  <c r="H57" i="3"/>
  <c r="J57" i="3" s="1"/>
  <c r="O57" i="3" s="1"/>
  <c r="H58" i="3"/>
  <c r="H59" i="3"/>
  <c r="H60" i="3"/>
  <c r="H61" i="3"/>
  <c r="H62" i="3"/>
  <c r="J62" i="3" s="1"/>
  <c r="O62" i="3" s="1"/>
  <c r="H54" i="3"/>
  <c r="J54" i="3" s="1"/>
  <c r="O54" i="3" s="1"/>
  <c r="H47" i="3"/>
  <c r="J47" i="3" s="1"/>
  <c r="H40" i="3"/>
  <c r="J40" i="3" s="1"/>
  <c r="H41" i="3"/>
  <c r="H42" i="3"/>
  <c r="J42" i="3" s="1"/>
  <c r="H43" i="3"/>
  <c r="H44" i="3"/>
  <c r="H45" i="3"/>
  <c r="H46" i="3"/>
  <c r="H39" i="3"/>
  <c r="J39" i="3" s="1"/>
  <c r="H25" i="3"/>
  <c r="H26" i="3"/>
  <c r="H27" i="3"/>
  <c r="H28" i="3"/>
  <c r="H29" i="3"/>
  <c r="J29" i="3" s="1"/>
  <c r="O29" i="3" s="1"/>
  <c r="H30" i="3"/>
  <c r="J30" i="3" s="1"/>
  <c r="O30" i="3" s="1"/>
  <c r="H31" i="3"/>
  <c r="H32" i="3"/>
  <c r="J32" i="3" s="1"/>
  <c r="O32" i="3" s="1"/>
  <c r="H24" i="3"/>
  <c r="H17" i="3"/>
  <c r="J17" i="3" s="1"/>
  <c r="O17" i="3" s="1"/>
  <c r="H12" i="3"/>
  <c r="H13" i="3"/>
  <c r="H14" i="3"/>
  <c r="H15" i="3"/>
  <c r="H16" i="3"/>
  <c r="H10" i="3"/>
  <c r="H11" i="3"/>
  <c r="J11" i="3" s="1"/>
  <c r="O11" i="3" s="1"/>
  <c r="H9" i="3"/>
  <c r="H6" i="3"/>
  <c r="J6" i="3" s="1"/>
  <c r="O6" i="3" s="1"/>
  <c r="J158" i="3"/>
  <c r="I157" i="3"/>
  <c r="K157" i="3" s="1"/>
  <c r="O28" i="9"/>
  <c r="O30" i="9"/>
  <c r="O31" i="9"/>
  <c r="O18" i="9"/>
  <c r="O19" i="9"/>
  <c r="O21" i="9"/>
  <c r="O23" i="9"/>
  <c r="O24" i="9"/>
  <c r="O25" i="9"/>
  <c r="O26" i="9"/>
  <c r="O27" i="9"/>
  <c r="O14" i="9"/>
  <c r="O15" i="9"/>
  <c r="O16" i="9"/>
  <c r="O17" i="9"/>
  <c r="O8" i="9"/>
  <c r="O9" i="9"/>
  <c r="O10" i="9"/>
  <c r="O11" i="9"/>
  <c r="O12" i="9"/>
  <c r="O13" i="9"/>
  <c r="O7" i="9"/>
  <c r="O5" i="9"/>
  <c r="O4" i="9"/>
  <c r="G32" i="9"/>
  <c r="G31" i="9"/>
  <c r="G30" i="9"/>
  <c r="G29" i="9"/>
  <c r="G28" i="9"/>
  <c r="G24" i="9"/>
  <c r="G25" i="9"/>
  <c r="G26" i="9"/>
  <c r="G27" i="9"/>
  <c r="G23" i="9"/>
  <c r="G22" i="9"/>
  <c r="G21" i="9"/>
  <c r="G20" i="9"/>
  <c r="G19" i="9"/>
  <c r="G17" i="9"/>
  <c r="G18" i="9"/>
  <c r="G16" i="9"/>
  <c r="G15" i="9"/>
  <c r="G14" i="9"/>
  <c r="G13" i="9"/>
  <c r="G12" i="9"/>
  <c r="G11" i="9"/>
  <c r="G10" i="9"/>
  <c r="G9" i="9"/>
  <c r="G8" i="9"/>
  <c r="G7" i="9"/>
  <c r="G5" i="9"/>
  <c r="G4" i="9"/>
  <c r="B53" i="5"/>
  <c r="B50" i="5"/>
  <c r="B47" i="5"/>
  <c r="B44" i="5"/>
  <c r="B41" i="5"/>
  <c r="B38" i="5"/>
  <c r="B35" i="5"/>
  <c r="B25" i="5"/>
  <c r="B22" i="5"/>
  <c r="B19" i="5"/>
  <c r="B16" i="5"/>
  <c r="B13" i="5"/>
  <c r="B10" i="5"/>
  <c r="B7" i="5"/>
  <c r="K34" i="3"/>
  <c r="K19" i="3"/>
  <c r="E153" i="3"/>
  <c r="I236" i="11"/>
  <c r="G28" i="8" s="1"/>
  <c r="I237" i="11"/>
  <c r="G29" i="8" s="1"/>
  <c r="I238" i="11"/>
  <c r="G30" i="8" s="1"/>
  <c r="I239" i="11"/>
  <c r="G31" i="8" s="1"/>
  <c r="I240" i="11"/>
  <c r="G32" i="8" s="1"/>
  <c r="I241" i="11"/>
  <c r="G33" i="8" s="1"/>
  <c r="I242" i="11"/>
  <c r="G34" i="8" s="1"/>
  <c r="I243" i="11"/>
  <c r="G35" i="8" s="1"/>
  <c r="I244" i="11"/>
  <c r="G36" i="8" s="1"/>
  <c r="I245" i="11"/>
  <c r="G37" i="8" s="1"/>
  <c r="I246" i="11"/>
  <c r="G38" i="8" s="1"/>
  <c r="I247" i="11"/>
  <c r="G39" i="8" s="1"/>
  <c r="I248" i="11"/>
  <c r="G40" i="8" s="1"/>
  <c r="I249" i="11"/>
  <c r="G41" i="8" s="1"/>
  <c r="I250" i="11"/>
  <c r="G42" i="8" s="1"/>
  <c r="I251" i="11"/>
  <c r="G43" i="8" s="1"/>
  <c r="I252" i="11"/>
  <c r="G44" i="8" s="1"/>
  <c r="I253" i="11"/>
  <c r="G45" i="8" s="1"/>
  <c r="I235" i="11"/>
  <c r="G27" i="8" s="1"/>
  <c r="L27" i="8" s="1"/>
  <c r="D293" i="11"/>
  <c r="C286" i="11"/>
  <c r="C287" i="11"/>
  <c r="C288" i="11"/>
  <c r="C289" i="11"/>
  <c r="C290" i="11"/>
  <c r="C291" i="11"/>
  <c r="C292" i="11"/>
  <c r="C285" i="11"/>
  <c r="C284" i="11"/>
  <c r="C283" i="11"/>
  <c r="C282" i="11"/>
  <c r="C281" i="11"/>
  <c r="C280" i="11"/>
  <c r="C279" i="11"/>
  <c r="C278" i="11"/>
  <c r="C277" i="11"/>
  <c r="C276" i="11"/>
  <c r="C275" i="11"/>
  <c r="C274" i="11"/>
  <c r="C273" i="11"/>
  <c r="C272" i="11"/>
  <c r="C271" i="11"/>
  <c r="C270" i="11"/>
  <c r="C269" i="11"/>
  <c r="E75" i="8"/>
  <c r="Q94" i="10"/>
  <c r="I133" i="11"/>
  <c r="H139" i="3" s="1"/>
  <c r="J139" i="3" s="1"/>
  <c r="O139" i="3" s="1"/>
  <c r="I132" i="11"/>
  <c r="H138" i="3" s="1"/>
  <c r="J138" i="3" s="1"/>
  <c r="O138" i="3" s="1"/>
  <c r="I128" i="11"/>
  <c r="H134" i="3" s="1"/>
  <c r="J134" i="3" s="1"/>
  <c r="O134" i="3" s="1"/>
  <c r="I127" i="11"/>
  <c r="H133" i="3" s="1"/>
  <c r="I121" i="11"/>
  <c r="H127" i="3" s="1"/>
  <c r="J127" i="3" s="1"/>
  <c r="O127" i="3" s="1"/>
  <c r="B30" i="11"/>
  <c r="C10" i="9" s="1"/>
  <c r="B10" i="15" s="1"/>
  <c r="B31" i="11"/>
  <c r="C11" i="9" s="1"/>
  <c r="B11" i="15" s="1"/>
  <c r="B32" i="11"/>
  <c r="C12" i="9" s="1"/>
  <c r="B12" i="15" s="1"/>
  <c r="B29" i="11"/>
  <c r="C9" i="9" s="1"/>
  <c r="B9" i="15" s="1"/>
  <c r="B28" i="11"/>
  <c r="C8" i="9" s="1"/>
  <c r="B8" i="15" s="1"/>
  <c r="C390" i="11"/>
  <c r="H390" i="11" s="1"/>
  <c r="C388" i="11"/>
  <c r="F386" i="11"/>
  <c r="G63" i="12" s="1"/>
  <c r="C325" i="11"/>
  <c r="C324" i="11"/>
  <c r="C323" i="11"/>
  <c r="C322" i="11"/>
  <c r="C321" i="11"/>
  <c r="C320" i="11"/>
  <c r="C319" i="11"/>
  <c r="C318" i="11"/>
  <c r="C317" i="11"/>
  <c r="C316" i="11"/>
  <c r="C315" i="11"/>
  <c r="C314" i="11"/>
  <c r="C313" i="11"/>
  <c r="C312" i="11"/>
  <c r="C311" i="11"/>
  <c r="C310" i="11"/>
  <c r="C309" i="11"/>
  <c r="C308" i="11"/>
  <c r="C307" i="11"/>
  <c r="C306" i="11"/>
  <c r="C305" i="11"/>
  <c r="C304" i="11"/>
  <c r="C303" i="11"/>
  <c r="C302" i="11"/>
  <c r="D232" i="11"/>
  <c r="C231" i="11"/>
  <c r="C230" i="11"/>
  <c r="C229" i="11"/>
  <c r="C228" i="11"/>
  <c r="C227" i="11"/>
  <c r="C226" i="11"/>
  <c r="C225" i="11"/>
  <c r="C224" i="11"/>
  <c r="C223" i="11"/>
  <c r="C222" i="11"/>
  <c r="C221" i="11"/>
  <c r="C220" i="11"/>
  <c r="C219" i="11"/>
  <c r="C218" i="11"/>
  <c r="C217" i="11"/>
  <c r="C216" i="11"/>
  <c r="C215" i="11"/>
  <c r="I193" i="11"/>
  <c r="G75" i="10" s="1"/>
  <c r="I162" i="11"/>
  <c r="G33" i="10" s="1"/>
  <c r="I154" i="11"/>
  <c r="I150" i="11"/>
  <c r="B149" i="11"/>
  <c r="B148" i="11"/>
  <c r="B147" i="11"/>
  <c r="B146" i="11"/>
  <c r="B145" i="11"/>
  <c r="B144" i="11"/>
  <c r="B143" i="11"/>
  <c r="I131" i="11"/>
  <c r="H137" i="3" s="1"/>
  <c r="J137" i="3" s="1"/>
  <c r="O137" i="3" s="1"/>
  <c r="I120" i="11"/>
  <c r="H126" i="3" s="1"/>
  <c r="I118" i="11"/>
  <c r="H124" i="3" s="1"/>
  <c r="J124" i="3" s="1"/>
  <c r="O124" i="3" s="1"/>
  <c r="I95" i="11"/>
  <c r="K87" i="3" s="1"/>
  <c r="B93" i="11"/>
  <c r="B92" i="11"/>
  <c r="B91" i="11"/>
  <c r="B90" i="11"/>
  <c r="B89" i="11"/>
  <c r="B88" i="11"/>
  <c r="B87" i="11"/>
  <c r="I80" i="11"/>
  <c r="K73" i="3" s="1"/>
  <c r="H72" i="3"/>
  <c r="J72" i="3" s="1"/>
  <c r="O72" i="3" s="1"/>
  <c r="B78" i="11"/>
  <c r="B77" i="11"/>
  <c r="B76" i="11"/>
  <c r="B65" i="11"/>
  <c r="B64" i="11"/>
  <c r="B63" i="11"/>
  <c r="B62" i="11"/>
  <c r="B61" i="11"/>
  <c r="B60" i="11"/>
  <c r="B59" i="11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51" i="8"/>
  <c r="Q37" i="5" l="1"/>
  <c r="J15" i="3"/>
  <c r="O15" i="3" s="1"/>
  <c r="J78" i="3"/>
  <c r="O78" i="3" s="1"/>
  <c r="J25" i="3"/>
  <c r="O25" i="3" s="1"/>
  <c r="J13" i="3"/>
  <c r="O13" i="3" s="1"/>
  <c r="J85" i="3"/>
  <c r="O85" i="3" s="1"/>
  <c r="J106" i="3"/>
  <c r="O106" i="3" s="1"/>
  <c r="J126" i="3"/>
  <c r="O126" i="3" s="1"/>
  <c r="J12" i="3"/>
  <c r="O12" i="3" s="1"/>
  <c r="J46" i="3"/>
  <c r="J99" i="3"/>
  <c r="O99" i="3" s="1"/>
  <c r="J45" i="3"/>
  <c r="K45" i="3" s="1"/>
  <c r="J58" i="3"/>
  <c r="O58" i="3" s="1"/>
  <c r="J43" i="3"/>
  <c r="J31" i="3"/>
  <c r="O31" i="3" s="1"/>
  <c r="M47" i="6"/>
  <c r="L47" i="6"/>
  <c r="J41" i="3"/>
  <c r="K41" i="3" s="1"/>
  <c r="G56" i="5"/>
  <c r="H56" i="5" s="1"/>
  <c r="G25" i="10"/>
  <c r="I25" i="10" s="1"/>
  <c r="J69" i="3"/>
  <c r="O69" i="3" s="1"/>
  <c r="J108" i="3"/>
  <c r="O108" i="3" s="1"/>
  <c r="J26" i="3"/>
  <c r="O26" i="3" s="1"/>
  <c r="J98" i="3"/>
  <c r="O98" i="3" s="1"/>
  <c r="Q49" i="5"/>
  <c r="J14" i="3"/>
  <c r="O14" i="3" s="1"/>
  <c r="J61" i="3"/>
  <c r="O61" i="3" s="1"/>
  <c r="J95" i="3"/>
  <c r="O95" i="3" s="1"/>
  <c r="I44" i="6"/>
  <c r="L44" i="6"/>
  <c r="L71" i="8"/>
  <c r="L65" i="8"/>
  <c r="L59" i="8"/>
  <c r="L53" i="8"/>
  <c r="L50" i="8"/>
  <c r="L70" i="8"/>
  <c r="L64" i="8"/>
  <c r="L58" i="8"/>
  <c r="L52" i="8"/>
  <c r="L75" i="8"/>
  <c r="L69" i="8"/>
  <c r="L63" i="8"/>
  <c r="L57" i="8"/>
  <c r="L51" i="8"/>
  <c r="L74" i="8"/>
  <c r="L68" i="8"/>
  <c r="L62" i="8"/>
  <c r="L56" i="8"/>
  <c r="L73" i="8"/>
  <c r="L67" i="8"/>
  <c r="L61" i="8"/>
  <c r="L55" i="8"/>
  <c r="L72" i="8"/>
  <c r="L66" i="8"/>
  <c r="L60" i="8"/>
  <c r="L54" i="8"/>
  <c r="K81" i="8"/>
  <c r="L81" i="8"/>
  <c r="I73" i="8"/>
  <c r="I67" i="8"/>
  <c r="I61" i="8"/>
  <c r="I55" i="8"/>
  <c r="I71" i="8"/>
  <c r="I65" i="8"/>
  <c r="I59" i="8"/>
  <c r="H53" i="8"/>
  <c r="K50" i="8"/>
  <c r="I64" i="8"/>
  <c r="I52" i="8"/>
  <c r="H95" i="8"/>
  <c r="L95" i="8"/>
  <c r="J85" i="8"/>
  <c r="L85" i="8"/>
  <c r="H85" i="8"/>
  <c r="I84" i="8"/>
  <c r="L84" i="8"/>
  <c r="K83" i="8"/>
  <c r="L83" i="8"/>
  <c r="H45" i="8"/>
  <c r="L45" i="8"/>
  <c r="I22" i="8"/>
  <c r="L22" i="8"/>
  <c r="I21" i="8"/>
  <c r="L21" i="8"/>
  <c r="H44" i="8"/>
  <c r="L44" i="8"/>
  <c r="I20" i="8"/>
  <c r="L20" i="8"/>
  <c r="H43" i="8"/>
  <c r="L43" i="8"/>
  <c r="C22" i="16"/>
  <c r="C21" i="8"/>
  <c r="I19" i="8"/>
  <c r="L19" i="8"/>
  <c r="H42" i="8"/>
  <c r="L42" i="8"/>
  <c r="C21" i="16"/>
  <c r="C20" i="8"/>
  <c r="H41" i="8"/>
  <c r="L41" i="8"/>
  <c r="I18" i="8"/>
  <c r="L18" i="8"/>
  <c r="C20" i="16"/>
  <c r="C19" i="8"/>
  <c r="H40" i="8"/>
  <c r="L40" i="8"/>
  <c r="I17" i="8"/>
  <c r="L17" i="8"/>
  <c r="C19" i="16"/>
  <c r="C18" i="8"/>
  <c r="H39" i="8"/>
  <c r="L39" i="8"/>
  <c r="I16" i="8"/>
  <c r="L16" i="8"/>
  <c r="C18" i="16"/>
  <c r="C17" i="8"/>
  <c r="I15" i="8"/>
  <c r="L15" i="8"/>
  <c r="H38" i="8"/>
  <c r="L38" i="8"/>
  <c r="C17" i="16"/>
  <c r="C16" i="8"/>
  <c r="I14" i="8"/>
  <c r="L14" i="8"/>
  <c r="H37" i="8"/>
  <c r="L37" i="8"/>
  <c r="C16" i="16"/>
  <c r="C15" i="8"/>
  <c r="I13" i="8"/>
  <c r="L13" i="8"/>
  <c r="H36" i="8"/>
  <c r="L36" i="8"/>
  <c r="C15" i="16"/>
  <c r="C14" i="8"/>
  <c r="H35" i="8"/>
  <c r="L35" i="8"/>
  <c r="I12" i="8"/>
  <c r="L12" i="8"/>
  <c r="C14" i="16"/>
  <c r="C13" i="8"/>
  <c r="H34" i="8"/>
  <c r="L34" i="8"/>
  <c r="I11" i="8"/>
  <c r="L11" i="8"/>
  <c r="C13" i="16"/>
  <c r="C12" i="8"/>
  <c r="H33" i="8"/>
  <c r="L33" i="8"/>
  <c r="I10" i="8"/>
  <c r="L10" i="8"/>
  <c r="C12" i="16"/>
  <c r="C11" i="8"/>
  <c r="I9" i="8"/>
  <c r="L9" i="8"/>
  <c r="H32" i="8"/>
  <c r="L32" i="8"/>
  <c r="C11" i="16"/>
  <c r="C10" i="8"/>
  <c r="I8" i="8"/>
  <c r="L8" i="8"/>
  <c r="H31" i="8"/>
  <c r="L31" i="8"/>
  <c r="C10" i="16"/>
  <c r="C9" i="8"/>
  <c r="I7" i="8"/>
  <c r="L7" i="8"/>
  <c r="H30" i="8"/>
  <c r="L30" i="8"/>
  <c r="C9" i="16"/>
  <c r="C8" i="8"/>
  <c r="H29" i="8"/>
  <c r="L29" i="8"/>
  <c r="I6" i="8"/>
  <c r="L6" i="8"/>
  <c r="C7" i="8"/>
  <c r="C8" i="16"/>
  <c r="H28" i="8"/>
  <c r="L28" i="8"/>
  <c r="H5" i="8"/>
  <c r="L5" i="8"/>
  <c r="C6" i="8"/>
  <c r="C7" i="16"/>
  <c r="M4" i="8"/>
  <c r="L4" i="8"/>
  <c r="C6" i="16"/>
  <c r="C5" i="8"/>
  <c r="Q15" i="5"/>
  <c r="Q27" i="5"/>
  <c r="Q12" i="5"/>
  <c r="Q24" i="5"/>
  <c r="I43" i="6"/>
  <c r="L43" i="6"/>
  <c r="I42" i="6"/>
  <c r="L42" i="6"/>
  <c r="H41" i="6"/>
  <c r="L41" i="6"/>
  <c r="I40" i="6"/>
  <c r="L40" i="6"/>
  <c r="J38" i="6"/>
  <c r="L38" i="6"/>
  <c r="H37" i="6"/>
  <c r="L37" i="6"/>
  <c r="M36" i="6"/>
  <c r="L36" i="6"/>
  <c r="M34" i="6"/>
  <c r="L34" i="6"/>
  <c r="M32" i="6"/>
  <c r="L32" i="6"/>
  <c r="H30" i="6"/>
  <c r="L30" i="6"/>
  <c r="H29" i="6"/>
  <c r="L29" i="6"/>
  <c r="C30" i="6"/>
  <c r="C29" i="14"/>
  <c r="H28" i="6"/>
  <c r="L28" i="6"/>
  <c r="C28" i="14"/>
  <c r="C29" i="6"/>
  <c r="H27" i="6"/>
  <c r="L27" i="6"/>
  <c r="C27" i="14"/>
  <c r="C28" i="6"/>
  <c r="H26" i="6"/>
  <c r="L26" i="6"/>
  <c r="C26" i="14"/>
  <c r="C27" i="6"/>
  <c r="H25" i="6"/>
  <c r="L25" i="6"/>
  <c r="C26" i="6"/>
  <c r="C25" i="14"/>
  <c r="H24" i="6"/>
  <c r="L24" i="6"/>
  <c r="C24" i="14"/>
  <c r="C25" i="6"/>
  <c r="H23" i="6"/>
  <c r="L23" i="6"/>
  <c r="C24" i="6"/>
  <c r="C23" i="14"/>
  <c r="H22" i="6"/>
  <c r="L22" i="6"/>
  <c r="C22" i="14"/>
  <c r="C23" i="6"/>
  <c r="H21" i="6"/>
  <c r="L21" i="6"/>
  <c r="C21" i="14"/>
  <c r="C22" i="6"/>
  <c r="H20" i="6"/>
  <c r="L20" i="6"/>
  <c r="C21" i="6"/>
  <c r="C20" i="14"/>
  <c r="H19" i="6"/>
  <c r="L19" i="6"/>
  <c r="C20" i="6"/>
  <c r="C19" i="14"/>
  <c r="H18" i="6"/>
  <c r="L18" i="6"/>
  <c r="C18" i="14"/>
  <c r="C19" i="6"/>
  <c r="H17" i="6"/>
  <c r="L17" i="6"/>
  <c r="C18" i="6"/>
  <c r="C17" i="14"/>
  <c r="H16" i="6"/>
  <c r="L16" i="6"/>
  <c r="C16" i="14"/>
  <c r="C17" i="6"/>
  <c r="H15" i="6"/>
  <c r="L15" i="6"/>
  <c r="C15" i="14"/>
  <c r="C16" i="6"/>
  <c r="H14" i="6"/>
  <c r="L14" i="6"/>
  <c r="C15" i="6"/>
  <c r="C14" i="14"/>
  <c r="H13" i="6"/>
  <c r="L13" i="6"/>
  <c r="C14" i="6"/>
  <c r="C13" i="14"/>
  <c r="H12" i="6"/>
  <c r="L12" i="6"/>
  <c r="C12" i="14"/>
  <c r="C13" i="6"/>
  <c r="H11" i="6"/>
  <c r="L11" i="6"/>
  <c r="C11" i="14"/>
  <c r="C12" i="6"/>
  <c r="H10" i="6"/>
  <c r="L10" i="6"/>
  <c r="C10" i="14"/>
  <c r="C11" i="6"/>
  <c r="H9" i="6"/>
  <c r="L9" i="6"/>
  <c r="C9" i="14"/>
  <c r="C10" i="6"/>
  <c r="H8" i="6"/>
  <c r="L8" i="6"/>
  <c r="C9" i="6"/>
  <c r="C8" i="14"/>
  <c r="H7" i="6"/>
  <c r="L7" i="6"/>
  <c r="C8" i="6"/>
  <c r="C7" i="14"/>
  <c r="M6" i="6"/>
  <c r="L6" i="6"/>
  <c r="C6" i="14"/>
  <c r="C7" i="6"/>
  <c r="H86" i="10"/>
  <c r="L86" i="10"/>
  <c r="H84" i="10"/>
  <c r="L84" i="10"/>
  <c r="I79" i="10"/>
  <c r="L79" i="10"/>
  <c r="H78" i="10"/>
  <c r="L78" i="10"/>
  <c r="I77" i="10"/>
  <c r="L77" i="10"/>
  <c r="M76" i="10"/>
  <c r="L76" i="10"/>
  <c r="M74" i="10"/>
  <c r="L74" i="10"/>
  <c r="H75" i="10"/>
  <c r="L75" i="10"/>
  <c r="I60" i="10"/>
  <c r="L60" i="10"/>
  <c r="I59" i="10"/>
  <c r="L59" i="10"/>
  <c r="I58" i="10"/>
  <c r="L58" i="10"/>
  <c r="I49" i="10"/>
  <c r="L49" i="10"/>
  <c r="H48" i="10"/>
  <c r="L48" i="10"/>
  <c r="I47" i="10"/>
  <c r="L47" i="10"/>
  <c r="I46" i="10"/>
  <c r="L46" i="10"/>
  <c r="M44" i="10"/>
  <c r="L44" i="10"/>
  <c r="M43" i="10"/>
  <c r="L43" i="10"/>
  <c r="M41" i="10"/>
  <c r="L41" i="10"/>
  <c r="M40" i="10"/>
  <c r="L40" i="10"/>
  <c r="I38" i="10"/>
  <c r="L38" i="10"/>
  <c r="I35" i="10"/>
  <c r="L35" i="10"/>
  <c r="I34" i="10"/>
  <c r="L34" i="10"/>
  <c r="I32" i="10"/>
  <c r="L32" i="10"/>
  <c r="M42" i="5"/>
  <c r="L42" i="5"/>
  <c r="L43" i="5" s="1"/>
  <c r="M48" i="5"/>
  <c r="L48" i="5"/>
  <c r="I33" i="10"/>
  <c r="L33" i="10"/>
  <c r="M36" i="5"/>
  <c r="L36" i="5"/>
  <c r="M54" i="5"/>
  <c r="L54" i="5"/>
  <c r="I12" i="10"/>
  <c r="L12" i="10"/>
  <c r="G27" i="5"/>
  <c r="L25" i="5"/>
  <c r="L27" i="5" s="1"/>
  <c r="M24" i="10"/>
  <c r="L24" i="10"/>
  <c r="I70" i="10"/>
  <c r="L70" i="10"/>
  <c r="H11" i="10"/>
  <c r="L11" i="10"/>
  <c r="M23" i="5"/>
  <c r="L23" i="5"/>
  <c r="M50" i="5"/>
  <c r="L50" i="5"/>
  <c r="L52" i="5" s="1"/>
  <c r="I69" i="10"/>
  <c r="L69" i="10"/>
  <c r="B12" i="13"/>
  <c r="B12" i="10"/>
  <c r="I68" i="10"/>
  <c r="L68" i="10"/>
  <c r="H10" i="10"/>
  <c r="L10" i="10"/>
  <c r="M22" i="10"/>
  <c r="L22" i="10"/>
  <c r="G21" i="5"/>
  <c r="L19" i="5"/>
  <c r="B11" i="10"/>
  <c r="B11" i="13"/>
  <c r="M44" i="5"/>
  <c r="L44" i="5"/>
  <c r="I67" i="10"/>
  <c r="L67" i="10"/>
  <c r="I9" i="10"/>
  <c r="L9" i="10"/>
  <c r="M17" i="5"/>
  <c r="L17" i="5"/>
  <c r="B10" i="10"/>
  <c r="B10" i="13"/>
  <c r="I66" i="10"/>
  <c r="L66" i="10"/>
  <c r="M20" i="10"/>
  <c r="L20" i="10"/>
  <c r="I8" i="10"/>
  <c r="L8" i="10"/>
  <c r="B9" i="10"/>
  <c r="B9" i="13"/>
  <c r="M11" i="5"/>
  <c r="L11" i="5"/>
  <c r="L12" i="5" s="1"/>
  <c r="I65" i="10"/>
  <c r="L65" i="10"/>
  <c r="M38" i="5"/>
  <c r="L38" i="5"/>
  <c r="L40" i="5" s="1"/>
  <c r="I7" i="10"/>
  <c r="L7" i="10"/>
  <c r="B8" i="10"/>
  <c r="B8" i="13"/>
  <c r="H6" i="10"/>
  <c r="L6" i="10"/>
  <c r="M18" i="10"/>
  <c r="L18" i="10"/>
  <c r="I64" i="10"/>
  <c r="L64" i="10"/>
  <c r="B7" i="10"/>
  <c r="B7" i="13"/>
  <c r="H32" i="5"/>
  <c r="L32" i="5"/>
  <c r="L34" i="5" s="1"/>
  <c r="H5" i="5"/>
  <c r="L5" i="5"/>
  <c r="L6" i="5" s="1"/>
  <c r="B6" i="10"/>
  <c r="B6" i="13"/>
  <c r="J9" i="3"/>
  <c r="O9" i="3" s="1"/>
  <c r="J60" i="3"/>
  <c r="O60" i="3" s="1"/>
  <c r="J96" i="3"/>
  <c r="O96" i="3" s="1"/>
  <c r="J97" i="3"/>
  <c r="O97" i="3" s="1"/>
  <c r="B71" i="3"/>
  <c r="B57" i="17"/>
  <c r="B56" i="17"/>
  <c r="B70" i="3"/>
  <c r="B55" i="17"/>
  <c r="B69" i="3"/>
  <c r="M56" i="5"/>
  <c r="L56" i="5"/>
  <c r="B16" i="3"/>
  <c r="B31" i="3" s="1"/>
  <c r="B46" i="3" s="1"/>
  <c r="B61" i="3" s="1"/>
  <c r="B85" i="3" s="1"/>
  <c r="B99" i="3" s="1"/>
  <c r="B14" i="17"/>
  <c r="B25" i="17" s="1"/>
  <c r="B37" i="17" s="1"/>
  <c r="B49" i="17" s="1"/>
  <c r="B70" i="17" s="1"/>
  <c r="B83" i="17" s="1"/>
  <c r="B13" i="17"/>
  <c r="B24" i="17" s="1"/>
  <c r="B36" i="17" s="1"/>
  <c r="B48" i="17" s="1"/>
  <c r="B69" i="17" s="1"/>
  <c r="B82" i="17" s="1"/>
  <c r="B15" i="3"/>
  <c r="B30" i="3" s="1"/>
  <c r="B45" i="3" s="1"/>
  <c r="B60" i="3" s="1"/>
  <c r="B84" i="3" s="1"/>
  <c r="B98" i="3" s="1"/>
  <c r="B12" i="17"/>
  <c r="B23" i="17" s="1"/>
  <c r="B35" i="17" s="1"/>
  <c r="B47" i="17" s="1"/>
  <c r="B68" i="17" s="1"/>
  <c r="B81" i="17" s="1"/>
  <c r="B14" i="3"/>
  <c r="B29" i="3" s="1"/>
  <c r="B44" i="3" s="1"/>
  <c r="B59" i="3" s="1"/>
  <c r="B83" i="3" s="1"/>
  <c r="B97" i="3" s="1"/>
  <c r="B11" i="17"/>
  <c r="B22" i="17" s="1"/>
  <c r="B34" i="17" s="1"/>
  <c r="B46" i="17" s="1"/>
  <c r="B67" i="17" s="1"/>
  <c r="B80" i="17" s="1"/>
  <c r="B13" i="3"/>
  <c r="B28" i="3" s="1"/>
  <c r="B43" i="3" s="1"/>
  <c r="B58" i="3" s="1"/>
  <c r="B82" i="3" s="1"/>
  <c r="B96" i="3" s="1"/>
  <c r="B12" i="3"/>
  <c r="B27" i="3" s="1"/>
  <c r="B42" i="3" s="1"/>
  <c r="B57" i="3" s="1"/>
  <c r="B81" i="3" s="1"/>
  <c r="B95" i="3" s="1"/>
  <c r="B10" i="17"/>
  <c r="B21" i="17" s="1"/>
  <c r="B33" i="17" s="1"/>
  <c r="B45" i="17" s="1"/>
  <c r="B66" i="17" s="1"/>
  <c r="B79" i="17" s="1"/>
  <c r="B9" i="17"/>
  <c r="B20" i="17" s="1"/>
  <c r="B32" i="17" s="1"/>
  <c r="B44" i="17" s="1"/>
  <c r="B65" i="17" s="1"/>
  <c r="B78" i="17" s="1"/>
  <c r="B11" i="3"/>
  <c r="B26" i="3" s="1"/>
  <c r="B41" i="3" s="1"/>
  <c r="B56" i="3" s="1"/>
  <c r="B80" i="3" s="1"/>
  <c r="B94" i="3" s="1"/>
  <c r="B10" i="3"/>
  <c r="B25" i="3" s="1"/>
  <c r="B40" i="3" s="1"/>
  <c r="B55" i="3" s="1"/>
  <c r="B79" i="3" s="1"/>
  <c r="B93" i="3" s="1"/>
  <c r="B8" i="17"/>
  <c r="B19" i="17" s="1"/>
  <c r="B31" i="17" s="1"/>
  <c r="B43" i="17" s="1"/>
  <c r="B64" i="17" s="1"/>
  <c r="B77" i="17" s="1"/>
  <c r="H31" i="9"/>
  <c r="L31" i="9"/>
  <c r="H30" i="9"/>
  <c r="L30" i="9"/>
  <c r="I29" i="9"/>
  <c r="L29" i="9"/>
  <c r="I28" i="9"/>
  <c r="L28" i="9"/>
  <c r="I27" i="9"/>
  <c r="L27" i="9"/>
  <c r="I26" i="9"/>
  <c r="L26" i="9"/>
  <c r="I25" i="9"/>
  <c r="L25" i="9"/>
  <c r="I24" i="9"/>
  <c r="L24" i="9"/>
  <c r="I23" i="9"/>
  <c r="L23" i="9"/>
  <c r="H32" i="9"/>
  <c r="L32" i="9"/>
  <c r="H21" i="9"/>
  <c r="L21" i="9"/>
  <c r="H22" i="9"/>
  <c r="L22" i="9"/>
  <c r="I19" i="9"/>
  <c r="L19" i="9"/>
  <c r="I20" i="9"/>
  <c r="L20" i="9"/>
  <c r="I18" i="9"/>
  <c r="L18" i="9"/>
  <c r="I17" i="9"/>
  <c r="L17" i="9"/>
  <c r="I16" i="9"/>
  <c r="L16" i="9"/>
  <c r="I15" i="9"/>
  <c r="L15" i="9"/>
  <c r="I14" i="9"/>
  <c r="L14" i="9"/>
  <c r="I13" i="9"/>
  <c r="L13" i="9"/>
  <c r="I12" i="9"/>
  <c r="L12" i="9"/>
  <c r="I11" i="9"/>
  <c r="L11" i="9"/>
  <c r="I10" i="9"/>
  <c r="L10" i="9"/>
  <c r="I9" i="9"/>
  <c r="L9" i="9"/>
  <c r="I8" i="9"/>
  <c r="L8" i="9"/>
  <c r="M7" i="9"/>
  <c r="L7" i="9"/>
  <c r="I5" i="9"/>
  <c r="L5" i="9"/>
  <c r="M4" i="9"/>
  <c r="L4" i="9"/>
  <c r="K93" i="8"/>
  <c r="L93" i="8"/>
  <c r="Q157" i="3"/>
  <c r="P157" i="3"/>
  <c r="L89" i="10"/>
  <c r="K89" i="10"/>
  <c r="M89" i="10"/>
  <c r="J89" i="10"/>
  <c r="I89" i="10"/>
  <c r="I94" i="8"/>
  <c r="L94" i="8"/>
  <c r="H96" i="8"/>
  <c r="L96" i="8"/>
  <c r="I86" i="8"/>
  <c r="L86" i="8"/>
  <c r="L90" i="10"/>
  <c r="I90" i="10"/>
  <c r="M90" i="10"/>
  <c r="K90" i="10"/>
  <c r="J90" i="10"/>
  <c r="K92" i="8"/>
  <c r="L92" i="8"/>
  <c r="J93" i="8"/>
  <c r="J86" i="8"/>
  <c r="Q40" i="5"/>
  <c r="Q52" i="5"/>
  <c r="K18" i="6"/>
  <c r="K16" i="6"/>
  <c r="I8" i="6"/>
  <c r="M8" i="6"/>
  <c r="I75" i="8"/>
  <c r="I69" i="8"/>
  <c r="I63" i="8"/>
  <c r="I57" i="8"/>
  <c r="H51" i="8"/>
  <c r="I68" i="8"/>
  <c r="I56" i="8"/>
  <c r="J95" i="8"/>
  <c r="K85" i="8"/>
  <c r="I85" i="8"/>
  <c r="J83" i="8"/>
  <c r="J16" i="3"/>
  <c r="O16" i="3" s="1"/>
  <c r="J24" i="3"/>
  <c r="O24" i="3" s="1"/>
  <c r="J27" i="3"/>
  <c r="O27" i="3" s="1"/>
  <c r="J44" i="3"/>
  <c r="P44" i="3" s="1"/>
  <c r="J82" i="3"/>
  <c r="O82" i="3" s="1"/>
  <c r="J133" i="3"/>
  <c r="J59" i="3"/>
  <c r="O59" i="3" s="1"/>
  <c r="J71" i="3"/>
  <c r="L71" i="3" s="1"/>
  <c r="J92" i="3"/>
  <c r="O92" i="3" s="1"/>
  <c r="J28" i="3"/>
  <c r="L28" i="3" s="1"/>
  <c r="J70" i="3"/>
  <c r="O70" i="3" s="1"/>
  <c r="J110" i="3"/>
  <c r="J112" i="3"/>
  <c r="O112" i="3" s="1"/>
  <c r="J88" i="8"/>
  <c r="M88" i="8"/>
  <c r="I88" i="8"/>
  <c r="K88" i="8"/>
  <c r="Q34" i="5"/>
  <c r="M11" i="6"/>
  <c r="K8" i="6"/>
  <c r="M37" i="6"/>
  <c r="H81" i="8"/>
  <c r="I83" i="8"/>
  <c r="M83" i="8"/>
  <c r="K84" i="8"/>
  <c r="K86" i="8"/>
  <c r="J96" i="8"/>
  <c r="K95" i="8"/>
  <c r="M93" i="8"/>
  <c r="I93" i="8"/>
  <c r="J92" i="8"/>
  <c r="H83" i="8"/>
  <c r="L89" i="8"/>
  <c r="J10" i="3"/>
  <c r="O10" i="3" s="1"/>
  <c r="J117" i="3"/>
  <c r="M117" i="3" s="1"/>
  <c r="N117" i="3" s="1"/>
  <c r="J132" i="3"/>
  <c r="G12" i="5"/>
  <c r="Q9" i="5"/>
  <c r="Q21" i="5"/>
  <c r="Q46" i="5"/>
  <c r="M18" i="6"/>
  <c r="K12" i="6"/>
  <c r="K11" i="6"/>
  <c r="J8" i="6"/>
  <c r="K37" i="6"/>
  <c r="I74" i="8"/>
  <c r="I70" i="8"/>
  <c r="I66" i="8"/>
  <c r="I62" i="8"/>
  <c r="I58" i="8"/>
  <c r="I54" i="8"/>
  <c r="I81" i="8"/>
  <c r="M81" i="8"/>
  <c r="J84" i="8"/>
  <c r="M96" i="8"/>
  <c r="I96" i="8"/>
  <c r="K94" i="8"/>
  <c r="M92" i="8"/>
  <c r="I92" i="8"/>
  <c r="H84" i="8"/>
  <c r="L90" i="8"/>
  <c r="Q18" i="5"/>
  <c r="Q43" i="5"/>
  <c r="Q55" i="5"/>
  <c r="I37" i="6"/>
  <c r="J81" i="8"/>
  <c r="M84" i="8"/>
  <c r="M86" i="8"/>
  <c r="M95" i="8"/>
  <c r="I95" i="8"/>
  <c r="J94" i="8"/>
  <c r="L91" i="8"/>
  <c r="K96" i="8"/>
  <c r="M94" i="8"/>
  <c r="G13" i="10"/>
  <c r="I13" i="10" s="1"/>
  <c r="L25" i="10"/>
  <c r="M17" i="6"/>
  <c r="K15" i="6"/>
  <c r="K13" i="6"/>
  <c r="M10" i="6"/>
  <c r="I9" i="6"/>
  <c r="G71" i="10"/>
  <c r="L71" i="10" s="1"/>
  <c r="Q6" i="5"/>
  <c r="G28" i="5"/>
  <c r="D386" i="11"/>
  <c r="G62" i="12" s="1"/>
  <c r="I68" i="6"/>
  <c r="H68" i="6"/>
  <c r="J68" i="6"/>
  <c r="I66" i="6"/>
  <c r="K66" i="6"/>
  <c r="M66" i="6"/>
  <c r="H66" i="6"/>
  <c r="J66" i="6"/>
  <c r="I64" i="6"/>
  <c r="K64" i="6"/>
  <c r="M64" i="6"/>
  <c r="H64" i="6"/>
  <c r="J64" i="6"/>
  <c r="I62" i="6"/>
  <c r="K62" i="6"/>
  <c r="M62" i="6"/>
  <c r="H62" i="6"/>
  <c r="J62" i="6"/>
  <c r="I60" i="6"/>
  <c r="K60" i="6"/>
  <c r="M60" i="6"/>
  <c r="H60" i="6"/>
  <c r="J60" i="6"/>
  <c r="I58" i="6"/>
  <c r="K58" i="6"/>
  <c r="M58" i="6"/>
  <c r="H58" i="6"/>
  <c r="J58" i="6"/>
  <c r="G34" i="5"/>
  <c r="H38" i="6"/>
  <c r="M38" i="6"/>
  <c r="K38" i="6"/>
  <c r="J39" i="6"/>
  <c r="H39" i="6"/>
  <c r="J40" i="6"/>
  <c r="H40" i="6"/>
  <c r="J44" i="6"/>
  <c r="H44" i="6"/>
  <c r="J43" i="6"/>
  <c r="H43" i="6"/>
  <c r="J42" i="6"/>
  <c r="H42" i="6"/>
  <c r="M41" i="6"/>
  <c r="K41" i="6"/>
  <c r="I41" i="6"/>
  <c r="H47" i="6"/>
  <c r="J47" i="6"/>
  <c r="I46" i="6"/>
  <c r="K46" i="6"/>
  <c r="M46" i="6"/>
  <c r="I49" i="6"/>
  <c r="K49" i="6"/>
  <c r="M49" i="6"/>
  <c r="I50" i="6"/>
  <c r="K50" i="6"/>
  <c r="M50" i="6"/>
  <c r="I51" i="6"/>
  <c r="K51" i="6"/>
  <c r="M51" i="6"/>
  <c r="I52" i="6"/>
  <c r="K52" i="6"/>
  <c r="M52" i="6"/>
  <c r="H56" i="6"/>
  <c r="J56" i="6"/>
  <c r="M68" i="6"/>
  <c r="I67" i="6"/>
  <c r="K67" i="6"/>
  <c r="M67" i="6"/>
  <c r="H67" i="6"/>
  <c r="J67" i="6"/>
  <c r="I65" i="6"/>
  <c r="K65" i="6"/>
  <c r="M65" i="6"/>
  <c r="H65" i="6"/>
  <c r="J65" i="6"/>
  <c r="I63" i="6"/>
  <c r="K63" i="6"/>
  <c r="M63" i="6"/>
  <c r="H63" i="6"/>
  <c r="J63" i="6"/>
  <c r="I61" i="6"/>
  <c r="K61" i="6"/>
  <c r="M61" i="6"/>
  <c r="H61" i="6"/>
  <c r="J61" i="6"/>
  <c r="I59" i="6"/>
  <c r="K59" i="6"/>
  <c r="M59" i="6"/>
  <c r="H59" i="6"/>
  <c r="J59" i="6"/>
  <c r="I57" i="6"/>
  <c r="K57" i="6"/>
  <c r="M57" i="6"/>
  <c r="H57" i="6"/>
  <c r="J57" i="6"/>
  <c r="M32" i="5"/>
  <c r="G37" i="5"/>
  <c r="G43" i="5"/>
  <c r="G46" i="5"/>
  <c r="G49" i="5"/>
  <c r="G52" i="5"/>
  <c r="G55" i="5"/>
  <c r="G40" i="5"/>
  <c r="K30" i="6"/>
  <c r="K29" i="6"/>
  <c r="K28" i="6"/>
  <c r="K27" i="6"/>
  <c r="K26" i="6"/>
  <c r="K25" i="6"/>
  <c r="K24" i="6"/>
  <c r="K23" i="6"/>
  <c r="K22" i="6"/>
  <c r="K21" i="6"/>
  <c r="K20" i="6"/>
  <c r="K19" i="6"/>
  <c r="K17" i="6"/>
  <c r="M16" i="6"/>
  <c r="I16" i="6"/>
  <c r="M15" i="6"/>
  <c r="I15" i="6"/>
  <c r="M14" i="6"/>
  <c r="I14" i="6"/>
  <c r="M13" i="6"/>
  <c r="I13" i="6"/>
  <c r="M12" i="6"/>
  <c r="I12" i="6"/>
  <c r="I11" i="6"/>
  <c r="H36" i="6"/>
  <c r="I38" i="6"/>
  <c r="M39" i="6"/>
  <c r="K39" i="6"/>
  <c r="I39" i="6"/>
  <c r="M40" i="6"/>
  <c r="K40" i="6"/>
  <c r="M44" i="6"/>
  <c r="K44" i="6"/>
  <c r="M43" i="6"/>
  <c r="K43" i="6"/>
  <c r="M42" i="6"/>
  <c r="K42" i="6"/>
  <c r="J41" i="6"/>
  <c r="I47" i="6"/>
  <c r="K47" i="6"/>
  <c r="H46" i="6"/>
  <c r="J46" i="6"/>
  <c r="H49" i="6"/>
  <c r="J49" i="6"/>
  <c r="H50" i="6"/>
  <c r="J50" i="6"/>
  <c r="H51" i="6"/>
  <c r="J51" i="6"/>
  <c r="H52" i="6"/>
  <c r="J52" i="6"/>
  <c r="I56" i="6"/>
  <c r="K56" i="6"/>
  <c r="M56" i="6"/>
  <c r="K68" i="6"/>
  <c r="I4" i="8"/>
  <c r="J4" i="8"/>
  <c r="J22" i="8"/>
  <c r="H22" i="8"/>
  <c r="J21" i="8"/>
  <c r="H21" i="8"/>
  <c r="J20" i="8"/>
  <c r="H20" i="8"/>
  <c r="J19" i="8"/>
  <c r="H19" i="8"/>
  <c r="J18" i="8"/>
  <c r="H18" i="8"/>
  <c r="J17" i="8"/>
  <c r="H17" i="8"/>
  <c r="J16" i="8"/>
  <c r="H16" i="8"/>
  <c r="J15" i="8"/>
  <c r="H15" i="8"/>
  <c r="J14" i="8"/>
  <c r="H14" i="8"/>
  <c r="J13" i="8"/>
  <c r="H13" i="8"/>
  <c r="J12" i="8"/>
  <c r="H12" i="8"/>
  <c r="J11" i="8"/>
  <c r="H11" i="8"/>
  <c r="J10" i="8"/>
  <c r="H10" i="8"/>
  <c r="J9" i="8"/>
  <c r="H9" i="8"/>
  <c r="J8" i="8"/>
  <c r="H8" i="8"/>
  <c r="J7" i="8"/>
  <c r="H7" i="8"/>
  <c r="J6" i="8"/>
  <c r="H6" i="8"/>
  <c r="M5" i="8"/>
  <c r="K5" i="8"/>
  <c r="I5" i="8"/>
  <c r="I27" i="8"/>
  <c r="K27" i="8"/>
  <c r="M27" i="8"/>
  <c r="M45" i="8"/>
  <c r="K45" i="8"/>
  <c r="I45" i="8"/>
  <c r="M44" i="8"/>
  <c r="K44" i="8"/>
  <c r="I44" i="8"/>
  <c r="M43" i="8"/>
  <c r="K43" i="8"/>
  <c r="I43" i="8"/>
  <c r="M42" i="8"/>
  <c r="K42" i="8"/>
  <c r="I42" i="8"/>
  <c r="M41" i="8"/>
  <c r="K41" i="8"/>
  <c r="I41" i="8"/>
  <c r="M40" i="8"/>
  <c r="K40" i="8"/>
  <c r="I40" i="8"/>
  <c r="M39" i="8"/>
  <c r="K39" i="8"/>
  <c r="I39" i="8"/>
  <c r="M38" i="8"/>
  <c r="K38" i="8"/>
  <c r="I38" i="8"/>
  <c r="M37" i="8"/>
  <c r="K37" i="8"/>
  <c r="I37" i="8"/>
  <c r="M36" i="8"/>
  <c r="K36" i="8"/>
  <c r="I36" i="8"/>
  <c r="M35" i="8"/>
  <c r="K35" i="8"/>
  <c r="I35" i="8"/>
  <c r="M34" i="8"/>
  <c r="K34" i="8"/>
  <c r="I34" i="8"/>
  <c r="M33" i="8"/>
  <c r="K33" i="8"/>
  <c r="I33" i="8"/>
  <c r="M32" i="8"/>
  <c r="K32" i="8"/>
  <c r="I32" i="8"/>
  <c r="M31" i="8"/>
  <c r="K31" i="8"/>
  <c r="I31" i="8"/>
  <c r="M30" i="8"/>
  <c r="K30" i="8"/>
  <c r="I30" i="8"/>
  <c r="M29" i="8"/>
  <c r="K29" i="8"/>
  <c r="I29" i="8"/>
  <c r="M28" i="8"/>
  <c r="K28" i="8"/>
  <c r="I28" i="8"/>
  <c r="H50" i="8"/>
  <c r="J50" i="8"/>
  <c r="M50" i="8"/>
  <c r="J75" i="8"/>
  <c r="H75" i="8"/>
  <c r="J74" i="8"/>
  <c r="H74" i="8"/>
  <c r="J73" i="8"/>
  <c r="H73" i="8"/>
  <c r="J72" i="8"/>
  <c r="H72" i="8"/>
  <c r="J71" i="8"/>
  <c r="H71" i="8"/>
  <c r="J70" i="8"/>
  <c r="H70" i="8"/>
  <c r="J69" i="8"/>
  <c r="H69" i="8"/>
  <c r="J68" i="8"/>
  <c r="H68" i="8"/>
  <c r="J67" i="8"/>
  <c r="H67" i="8"/>
  <c r="J66" i="8"/>
  <c r="H66" i="8"/>
  <c r="J65" i="8"/>
  <c r="H65" i="8"/>
  <c r="J64" i="8"/>
  <c r="H64" i="8"/>
  <c r="J63" i="8"/>
  <c r="H63" i="8"/>
  <c r="J62" i="8"/>
  <c r="H62" i="8"/>
  <c r="J61" i="8"/>
  <c r="H61" i="8"/>
  <c r="J60" i="8"/>
  <c r="H60" i="8"/>
  <c r="J59" i="8"/>
  <c r="H59" i="8"/>
  <c r="J58" i="8"/>
  <c r="H58" i="8"/>
  <c r="J57" i="8"/>
  <c r="H57" i="8"/>
  <c r="J56" i="8"/>
  <c r="H56" i="8"/>
  <c r="J55" i="8"/>
  <c r="H55" i="8"/>
  <c r="J54" i="8"/>
  <c r="H54" i="8"/>
  <c r="M53" i="8"/>
  <c r="K53" i="8"/>
  <c r="I53" i="8"/>
  <c r="J52" i="8"/>
  <c r="H52" i="8"/>
  <c r="M51" i="8"/>
  <c r="K51" i="8"/>
  <c r="I51" i="8"/>
  <c r="H4" i="8"/>
  <c r="K4" i="8"/>
  <c r="M22" i="8"/>
  <c r="K22" i="8"/>
  <c r="M21" i="8"/>
  <c r="K21" i="8"/>
  <c r="M20" i="8"/>
  <c r="K20" i="8"/>
  <c r="M19" i="8"/>
  <c r="K19" i="8"/>
  <c r="M18" i="8"/>
  <c r="K18" i="8"/>
  <c r="M17" i="8"/>
  <c r="K17" i="8"/>
  <c r="M16" i="8"/>
  <c r="K16" i="8"/>
  <c r="M15" i="8"/>
  <c r="K15" i="8"/>
  <c r="M14" i="8"/>
  <c r="K14" i="8"/>
  <c r="M13" i="8"/>
  <c r="K13" i="8"/>
  <c r="M12" i="8"/>
  <c r="K12" i="8"/>
  <c r="M11" i="8"/>
  <c r="K11" i="8"/>
  <c r="M10" i="8"/>
  <c r="K10" i="8"/>
  <c r="M9" i="8"/>
  <c r="K9" i="8"/>
  <c r="M8" i="8"/>
  <c r="K8" i="8"/>
  <c r="M7" i="8"/>
  <c r="K7" i="8"/>
  <c r="M6" i="8"/>
  <c r="K6" i="8"/>
  <c r="J5" i="8"/>
  <c r="H27" i="8"/>
  <c r="J27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I50" i="8"/>
  <c r="M75" i="8"/>
  <c r="K75" i="8"/>
  <c r="M74" i="8"/>
  <c r="K74" i="8"/>
  <c r="M73" i="8"/>
  <c r="K73" i="8"/>
  <c r="M72" i="8"/>
  <c r="K72" i="8"/>
  <c r="M71" i="8"/>
  <c r="K71" i="8"/>
  <c r="M70" i="8"/>
  <c r="K70" i="8"/>
  <c r="M69" i="8"/>
  <c r="K69" i="8"/>
  <c r="M68" i="8"/>
  <c r="K68" i="8"/>
  <c r="M67" i="8"/>
  <c r="K67" i="8"/>
  <c r="M66" i="8"/>
  <c r="K66" i="8"/>
  <c r="M65" i="8"/>
  <c r="K65" i="8"/>
  <c r="M64" i="8"/>
  <c r="K64" i="8"/>
  <c r="M63" i="8"/>
  <c r="K63" i="8"/>
  <c r="M62" i="8"/>
  <c r="K62" i="8"/>
  <c r="M61" i="8"/>
  <c r="K61" i="8"/>
  <c r="M60" i="8"/>
  <c r="K60" i="8"/>
  <c r="M59" i="8"/>
  <c r="K59" i="8"/>
  <c r="M58" i="8"/>
  <c r="K58" i="8"/>
  <c r="M57" i="8"/>
  <c r="K57" i="8"/>
  <c r="M56" i="8"/>
  <c r="K56" i="8"/>
  <c r="M55" i="8"/>
  <c r="K55" i="8"/>
  <c r="M54" i="8"/>
  <c r="K54" i="8"/>
  <c r="J53" i="8"/>
  <c r="M52" i="8"/>
  <c r="K52" i="8"/>
  <c r="J51" i="8"/>
  <c r="J37" i="6"/>
  <c r="J36" i="6"/>
  <c r="I36" i="6"/>
  <c r="K36" i="6"/>
  <c r="H34" i="6"/>
  <c r="J34" i="6"/>
  <c r="I34" i="6"/>
  <c r="K34" i="6"/>
  <c r="K7" i="6"/>
  <c r="M30" i="6"/>
  <c r="I30" i="6"/>
  <c r="M29" i="6"/>
  <c r="I29" i="6"/>
  <c r="M28" i="6"/>
  <c r="I28" i="6"/>
  <c r="M27" i="6"/>
  <c r="I27" i="6"/>
  <c r="M26" i="6"/>
  <c r="I26" i="6"/>
  <c r="M25" i="6"/>
  <c r="I25" i="6"/>
  <c r="M24" i="6"/>
  <c r="I24" i="6"/>
  <c r="M23" i="6"/>
  <c r="I23" i="6"/>
  <c r="M22" i="6"/>
  <c r="I22" i="6"/>
  <c r="M21" i="6"/>
  <c r="I21" i="6"/>
  <c r="M20" i="6"/>
  <c r="I20" i="6"/>
  <c r="M19" i="6"/>
  <c r="I19" i="6"/>
  <c r="I18" i="6"/>
  <c r="I17" i="6"/>
  <c r="K10" i="6"/>
  <c r="H32" i="6"/>
  <c r="J32" i="6"/>
  <c r="I32" i="6"/>
  <c r="K32" i="6"/>
  <c r="J6" i="6"/>
  <c r="H6" i="6"/>
  <c r="I10" i="6"/>
  <c r="I6" i="6"/>
  <c r="K6" i="6"/>
  <c r="M7" i="6"/>
  <c r="I7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7" i="6"/>
  <c r="K32" i="5"/>
  <c r="G9" i="5"/>
  <c r="G15" i="5"/>
  <c r="G24" i="5"/>
  <c r="G18" i="5"/>
  <c r="H5" i="10"/>
  <c r="J5" i="10"/>
  <c r="J12" i="10"/>
  <c r="H12" i="10"/>
  <c r="M11" i="10"/>
  <c r="K11" i="10"/>
  <c r="I11" i="10"/>
  <c r="M10" i="10"/>
  <c r="K10" i="10"/>
  <c r="I10" i="10"/>
  <c r="J9" i="10"/>
  <c r="H9" i="10"/>
  <c r="J8" i="10"/>
  <c r="H8" i="10"/>
  <c r="J7" i="10"/>
  <c r="H7" i="10"/>
  <c r="M6" i="10"/>
  <c r="K6" i="10"/>
  <c r="I6" i="10"/>
  <c r="I17" i="10"/>
  <c r="K17" i="10"/>
  <c r="M17" i="10"/>
  <c r="H18" i="10"/>
  <c r="J18" i="10"/>
  <c r="I19" i="10"/>
  <c r="K19" i="10"/>
  <c r="M19" i="10"/>
  <c r="H20" i="10"/>
  <c r="J20" i="10"/>
  <c r="I21" i="10"/>
  <c r="K21" i="10"/>
  <c r="M21" i="10"/>
  <c r="H22" i="10"/>
  <c r="J22" i="10"/>
  <c r="I23" i="10"/>
  <c r="K23" i="10"/>
  <c r="M23" i="10"/>
  <c r="H24" i="10"/>
  <c r="J24" i="10"/>
  <c r="K25" i="10"/>
  <c r="M25" i="10"/>
  <c r="I28" i="10"/>
  <c r="K28" i="10"/>
  <c r="M28" i="10"/>
  <c r="J29" i="10"/>
  <c r="H29" i="10"/>
  <c r="I31" i="10"/>
  <c r="K31" i="10"/>
  <c r="M31" i="10"/>
  <c r="J33" i="10"/>
  <c r="H33" i="10"/>
  <c r="J32" i="10"/>
  <c r="H32" i="10"/>
  <c r="J34" i="10"/>
  <c r="H34" i="10"/>
  <c r="J35" i="10"/>
  <c r="H35" i="10"/>
  <c r="I37" i="10"/>
  <c r="K37" i="10"/>
  <c r="M37" i="10"/>
  <c r="J38" i="10"/>
  <c r="H38" i="10"/>
  <c r="H40" i="10"/>
  <c r="J40" i="10"/>
  <c r="H41" i="10"/>
  <c r="J41" i="10"/>
  <c r="H43" i="10"/>
  <c r="J43" i="10"/>
  <c r="H44" i="10"/>
  <c r="J44" i="10"/>
  <c r="J49" i="10"/>
  <c r="H49" i="10"/>
  <c r="M48" i="10"/>
  <c r="K48" i="10"/>
  <c r="I48" i="10"/>
  <c r="J47" i="10"/>
  <c r="H47" i="10"/>
  <c r="J46" i="10"/>
  <c r="H46" i="10"/>
  <c r="I54" i="10"/>
  <c r="K54" i="10"/>
  <c r="M54" i="10"/>
  <c r="I55" i="10"/>
  <c r="K55" i="10"/>
  <c r="M55" i="10"/>
  <c r="I57" i="10"/>
  <c r="K57" i="10"/>
  <c r="M57" i="10"/>
  <c r="J60" i="10"/>
  <c r="H60" i="10"/>
  <c r="J59" i="10"/>
  <c r="H59" i="10"/>
  <c r="J58" i="10"/>
  <c r="H58" i="10"/>
  <c r="I63" i="10"/>
  <c r="K63" i="10"/>
  <c r="M63" i="10"/>
  <c r="J70" i="10"/>
  <c r="H70" i="10"/>
  <c r="J69" i="10"/>
  <c r="H69" i="10"/>
  <c r="J68" i="10"/>
  <c r="H68" i="10"/>
  <c r="J67" i="10"/>
  <c r="H67" i="10"/>
  <c r="J66" i="10"/>
  <c r="H66" i="10"/>
  <c r="J65" i="10"/>
  <c r="H65" i="10"/>
  <c r="J64" i="10"/>
  <c r="H64" i="10"/>
  <c r="I71" i="10"/>
  <c r="K71" i="10"/>
  <c r="M71" i="10"/>
  <c r="I73" i="10"/>
  <c r="K73" i="10"/>
  <c r="M73" i="10"/>
  <c r="H74" i="10"/>
  <c r="J74" i="10"/>
  <c r="H76" i="10"/>
  <c r="J76" i="10"/>
  <c r="J79" i="10"/>
  <c r="H79" i="10"/>
  <c r="M78" i="10"/>
  <c r="K78" i="10"/>
  <c r="I78" i="10"/>
  <c r="J77" i="10"/>
  <c r="H77" i="10"/>
  <c r="M75" i="10"/>
  <c r="K75" i="10"/>
  <c r="I75" i="10"/>
  <c r="I81" i="10"/>
  <c r="K81" i="10"/>
  <c r="M81" i="10"/>
  <c r="I82" i="10"/>
  <c r="K82" i="10"/>
  <c r="M82" i="10"/>
  <c r="I84" i="10"/>
  <c r="K84" i="10"/>
  <c r="M84" i="10"/>
  <c r="M86" i="10"/>
  <c r="K86" i="10"/>
  <c r="I86" i="10"/>
  <c r="I5" i="10"/>
  <c r="K5" i="10"/>
  <c r="M5" i="10"/>
  <c r="M12" i="10"/>
  <c r="K12" i="10"/>
  <c r="J11" i="10"/>
  <c r="J10" i="10"/>
  <c r="M9" i="10"/>
  <c r="K9" i="10"/>
  <c r="M8" i="10"/>
  <c r="K8" i="10"/>
  <c r="M7" i="10"/>
  <c r="K7" i="10"/>
  <c r="J6" i="10"/>
  <c r="H17" i="10"/>
  <c r="J17" i="10"/>
  <c r="I18" i="10"/>
  <c r="K18" i="10"/>
  <c r="H19" i="10"/>
  <c r="J19" i="10"/>
  <c r="I20" i="10"/>
  <c r="K20" i="10"/>
  <c r="H21" i="10"/>
  <c r="J21" i="10"/>
  <c r="I22" i="10"/>
  <c r="K22" i="10"/>
  <c r="H23" i="10"/>
  <c r="J23" i="10"/>
  <c r="I24" i="10"/>
  <c r="K24" i="10"/>
  <c r="J25" i="10"/>
  <c r="H28" i="10"/>
  <c r="J28" i="10"/>
  <c r="M29" i="10"/>
  <c r="K29" i="10"/>
  <c r="I29" i="10"/>
  <c r="H31" i="10"/>
  <c r="J31" i="10"/>
  <c r="M33" i="10"/>
  <c r="K33" i="10"/>
  <c r="M32" i="10"/>
  <c r="K32" i="10"/>
  <c r="M34" i="10"/>
  <c r="K34" i="10"/>
  <c r="M35" i="10"/>
  <c r="K35" i="10"/>
  <c r="H37" i="10"/>
  <c r="J37" i="10"/>
  <c r="M38" i="10"/>
  <c r="K38" i="10"/>
  <c r="I40" i="10"/>
  <c r="K40" i="10"/>
  <c r="I41" i="10"/>
  <c r="K41" i="10"/>
  <c r="I43" i="10"/>
  <c r="K43" i="10"/>
  <c r="I44" i="10"/>
  <c r="K44" i="10"/>
  <c r="M49" i="10"/>
  <c r="K49" i="10"/>
  <c r="J48" i="10"/>
  <c r="M47" i="10"/>
  <c r="K47" i="10"/>
  <c r="M46" i="10"/>
  <c r="K46" i="10"/>
  <c r="H54" i="10"/>
  <c r="J54" i="10"/>
  <c r="H55" i="10"/>
  <c r="J55" i="10"/>
  <c r="H57" i="10"/>
  <c r="J57" i="10"/>
  <c r="M60" i="10"/>
  <c r="K60" i="10"/>
  <c r="M59" i="10"/>
  <c r="K59" i="10"/>
  <c r="M58" i="10"/>
  <c r="K58" i="10"/>
  <c r="H63" i="10"/>
  <c r="J63" i="10"/>
  <c r="M70" i="10"/>
  <c r="K70" i="10"/>
  <c r="M69" i="10"/>
  <c r="K69" i="10"/>
  <c r="M68" i="10"/>
  <c r="K68" i="10"/>
  <c r="M67" i="10"/>
  <c r="K67" i="10"/>
  <c r="M66" i="10"/>
  <c r="K66" i="10"/>
  <c r="M65" i="10"/>
  <c r="K65" i="10"/>
  <c r="M64" i="10"/>
  <c r="K64" i="10"/>
  <c r="H71" i="10"/>
  <c r="J71" i="10"/>
  <c r="H73" i="10"/>
  <c r="J73" i="10"/>
  <c r="I74" i="10"/>
  <c r="K74" i="10"/>
  <c r="I76" i="10"/>
  <c r="K76" i="10"/>
  <c r="M79" i="10"/>
  <c r="K79" i="10"/>
  <c r="J78" i="10"/>
  <c r="M77" i="10"/>
  <c r="K77" i="10"/>
  <c r="J75" i="10"/>
  <c r="H81" i="10"/>
  <c r="J81" i="10"/>
  <c r="H82" i="10"/>
  <c r="J82" i="10"/>
  <c r="J84" i="10"/>
  <c r="J86" i="10"/>
  <c r="I35" i="5"/>
  <c r="K35" i="5"/>
  <c r="M35" i="5"/>
  <c r="H36" i="5"/>
  <c r="J36" i="5"/>
  <c r="L37" i="5"/>
  <c r="H38" i="5"/>
  <c r="J38" i="5"/>
  <c r="I39" i="5"/>
  <c r="K39" i="5"/>
  <c r="M39" i="5"/>
  <c r="M40" i="5" s="1"/>
  <c r="I41" i="5"/>
  <c r="K41" i="5"/>
  <c r="M41" i="5"/>
  <c r="H42" i="5"/>
  <c r="J42" i="5"/>
  <c r="H44" i="5"/>
  <c r="J44" i="5"/>
  <c r="L46" i="5"/>
  <c r="I45" i="5"/>
  <c r="K45" i="5"/>
  <c r="M45" i="5"/>
  <c r="I47" i="5"/>
  <c r="K47" i="5"/>
  <c r="M47" i="5"/>
  <c r="M49" i="5" s="1"/>
  <c r="H48" i="5"/>
  <c r="J48" i="5"/>
  <c r="L49" i="5"/>
  <c r="H50" i="5"/>
  <c r="J50" i="5"/>
  <c r="I51" i="5"/>
  <c r="K51" i="5"/>
  <c r="M51" i="5"/>
  <c r="I53" i="5"/>
  <c r="K53" i="5"/>
  <c r="M53" i="5"/>
  <c r="H54" i="5"/>
  <c r="J54" i="5"/>
  <c r="L55" i="5"/>
  <c r="I32" i="5"/>
  <c r="H35" i="5"/>
  <c r="J35" i="5"/>
  <c r="I36" i="5"/>
  <c r="K36" i="5"/>
  <c r="I38" i="5"/>
  <c r="K38" i="5"/>
  <c r="H39" i="5"/>
  <c r="J39" i="5"/>
  <c r="H41" i="5"/>
  <c r="J41" i="5"/>
  <c r="I42" i="5"/>
  <c r="K42" i="5"/>
  <c r="I44" i="5"/>
  <c r="K44" i="5"/>
  <c r="H45" i="5"/>
  <c r="J45" i="5"/>
  <c r="H47" i="5"/>
  <c r="J47" i="5"/>
  <c r="I48" i="5"/>
  <c r="K48" i="5"/>
  <c r="I50" i="5"/>
  <c r="K50" i="5"/>
  <c r="H51" i="5"/>
  <c r="J51" i="5"/>
  <c r="H53" i="5"/>
  <c r="J53" i="5"/>
  <c r="I54" i="5"/>
  <c r="K54" i="5"/>
  <c r="I56" i="5"/>
  <c r="J32" i="5"/>
  <c r="H7" i="5"/>
  <c r="J7" i="5"/>
  <c r="L9" i="5"/>
  <c r="I8" i="5"/>
  <c r="K8" i="5"/>
  <c r="M8" i="5"/>
  <c r="I10" i="5"/>
  <c r="K10" i="5"/>
  <c r="M10" i="5"/>
  <c r="M12" i="5" s="1"/>
  <c r="H11" i="5"/>
  <c r="J11" i="5"/>
  <c r="H13" i="5"/>
  <c r="J13" i="5"/>
  <c r="L15" i="5"/>
  <c r="I14" i="5"/>
  <c r="K14" i="5"/>
  <c r="M14" i="5"/>
  <c r="I16" i="5"/>
  <c r="K16" i="5"/>
  <c r="M16" i="5"/>
  <c r="H17" i="5"/>
  <c r="J17" i="5"/>
  <c r="H19" i="5"/>
  <c r="J19" i="5"/>
  <c r="L21" i="5"/>
  <c r="I20" i="5"/>
  <c r="K20" i="5"/>
  <c r="M20" i="5"/>
  <c r="I22" i="5"/>
  <c r="K22" i="5"/>
  <c r="M22" i="5"/>
  <c r="H23" i="5"/>
  <c r="J23" i="5"/>
  <c r="H25" i="5"/>
  <c r="J25" i="5"/>
  <c r="I26" i="5"/>
  <c r="K26" i="5"/>
  <c r="M26" i="5"/>
  <c r="M28" i="5"/>
  <c r="I33" i="5"/>
  <c r="K33" i="5"/>
  <c r="M33" i="5"/>
  <c r="I7" i="5"/>
  <c r="K7" i="5"/>
  <c r="M7" i="5"/>
  <c r="H8" i="5"/>
  <c r="J8" i="5"/>
  <c r="H10" i="5"/>
  <c r="J10" i="5"/>
  <c r="I11" i="5"/>
  <c r="K11" i="5"/>
  <c r="I13" i="5"/>
  <c r="K13" i="5"/>
  <c r="M13" i="5"/>
  <c r="H14" i="5"/>
  <c r="J14" i="5"/>
  <c r="H16" i="5"/>
  <c r="J16" i="5"/>
  <c r="L18" i="5"/>
  <c r="I17" i="5"/>
  <c r="K17" i="5"/>
  <c r="I19" i="5"/>
  <c r="K19" i="5"/>
  <c r="M19" i="5"/>
  <c r="H20" i="5"/>
  <c r="J20" i="5"/>
  <c r="H22" i="5"/>
  <c r="J22" i="5"/>
  <c r="L24" i="5"/>
  <c r="I23" i="5"/>
  <c r="K23" i="5"/>
  <c r="I25" i="5"/>
  <c r="K25" i="5"/>
  <c r="K27" i="5" s="1"/>
  <c r="M25" i="5"/>
  <c r="H26" i="5"/>
  <c r="J26" i="5"/>
  <c r="H33" i="5"/>
  <c r="H34" i="5" s="1"/>
  <c r="J33" i="5"/>
  <c r="G6" i="5"/>
  <c r="I4" i="5"/>
  <c r="K4" i="5"/>
  <c r="M4" i="5"/>
  <c r="M5" i="5"/>
  <c r="K5" i="5"/>
  <c r="I5" i="5"/>
  <c r="H4" i="5"/>
  <c r="J4" i="5"/>
  <c r="J5" i="5"/>
  <c r="M126" i="3"/>
  <c r="N126" i="3" s="1"/>
  <c r="L127" i="3"/>
  <c r="K127" i="3"/>
  <c r="M127" i="3"/>
  <c r="N127" i="3" s="1"/>
  <c r="P127" i="3"/>
  <c r="L134" i="3"/>
  <c r="K134" i="3"/>
  <c r="M134" i="3"/>
  <c r="N134" i="3" s="1"/>
  <c r="P134" i="3"/>
  <c r="L72" i="3"/>
  <c r="K72" i="3"/>
  <c r="M72" i="3"/>
  <c r="N72" i="3" s="1"/>
  <c r="P72" i="3"/>
  <c r="L124" i="3"/>
  <c r="K124" i="3"/>
  <c r="M124" i="3"/>
  <c r="N124" i="3" s="1"/>
  <c r="P124" i="3"/>
  <c r="L137" i="3"/>
  <c r="K137" i="3"/>
  <c r="M137" i="3"/>
  <c r="N137" i="3" s="1"/>
  <c r="P137" i="3"/>
  <c r="L138" i="3"/>
  <c r="K138" i="3"/>
  <c r="M138" i="3"/>
  <c r="N138" i="3" s="1"/>
  <c r="P138" i="3"/>
  <c r="K15" i="3"/>
  <c r="M15" i="3"/>
  <c r="N15" i="3" s="1"/>
  <c r="P15" i="3"/>
  <c r="L15" i="3"/>
  <c r="L13" i="3"/>
  <c r="K13" i="3"/>
  <c r="M13" i="3"/>
  <c r="N13" i="3" s="1"/>
  <c r="P13" i="3"/>
  <c r="L17" i="3"/>
  <c r="K17" i="3"/>
  <c r="M17" i="3"/>
  <c r="N17" i="3" s="1"/>
  <c r="P17" i="3"/>
  <c r="K32" i="3"/>
  <c r="M32" i="3"/>
  <c r="N32" i="3" s="1"/>
  <c r="P32" i="3"/>
  <c r="L32" i="3"/>
  <c r="K30" i="3"/>
  <c r="M30" i="3"/>
  <c r="N30" i="3" s="1"/>
  <c r="P30" i="3"/>
  <c r="L30" i="3"/>
  <c r="M26" i="3"/>
  <c r="N26" i="3" s="1"/>
  <c r="P26" i="3"/>
  <c r="K39" i="3"/>
  <c r="P39" i="3"/>
  <c r="K43" i="3"/>
  <c r="P43" i="3"/>
  <c r="P41" i="3"/>
  <c r="K47" i="3"/>
  <c r="P47" i="3"/>
  <c r="L62" i="3"/>
  <c r="K62" i="3"/>
  <c r="M62" i="3"/>
  <c r="N62" i="3" s="1"/>
  <c r="P62" i="3"/>
  <c r="L60" i="3"/>
  <c r="K60" i="3"/>
  <c r="M60" i="3"/>
  <c r="N60" i="3" s="1"/>
  <c r="P60" i="3"/>
  <c r="L56" i="3"/>
  <c r="K56" i="3"/>
  <c r="M56" i="3"/>
  <c r="N56" i="3" s="1"/>
  <c r="P56" i="3"/>
  <c r="M68" i="3"/>
  <c r="N68" i="3" s="1"/>
  <c r="K68" i="3"/>
  <c r="L86" i="3"/>
  <c r="K86" i="3"/>
  <c r="M86" i="3"/>
  <c r="N86" i="3" s="1"/>
  <c r="P86" i="3"/>
  <c r="K84" i="3"/>
  <c r="M84" i="3"/>
  <c r="N84" i="3" s="1"/>
  <c r="P84" i="3"/>
  <c r="L84" i="3"/>
  <c r="L82" i="3"/>
  <c r="K82" i="3"/>
  <c r="K80" i="3"/>
  <c r="M80" i="3"/>
  <c r="N80" i="3" s="1"/>
  <c r="P80" i="3"/>
  <c r="L80" i="3"/>
  <c r="L97" i="3"/>
  <c r="K97" i="3"/>
  <c r="M97" i="3"/>
  <c r="N97" i="3" s="1"/>
  <c r="P97" i="3"/>
  <c r="K95" i="3"/>
  <c r="M95" i="3"/>
  <c r="N95" i="3" s="1"/>
  <c r="P95" i="3"/>
  <c r="L95" i="3"/>
  <c r="L93" i="3"/>
  <c r="K93" i="3"/>
  <c r="M93" i="3"/>
  <c r="N93" i="3" s="1"/>
  <c r="P93" i="3"/>
  <c r="P105" i="3"/>
  <c r="M105" i="3"/>
  <c r="N105" i="3" s="1"/>
  <c r="K105" i="3"/>
  <c r="L105" i="3"/>
  <c r="L107" i="3"/>
  <c r="K107" i="3"/>
  <c r="M107" i="3"/>
  <c r="N107" i="3" s="1"/>
  <c r="P107" i="3"/>
  <c r="L109" i="3"/>
  <c r="K109" i="3"/>
  <c r="M109" i="3"/>
  <c r="N109" i="3" s="1"/>
  <c r="P109" i="3"/>
  <c r="L115" i="3"/>
  <c r="K115" i="3"/>
  <c r="M115" i="3"/>
  <c r="N115" i="3" s="1"/>
  <c r="P115" i="3"/>
  <c r="L113" i="3"/>
  <c r="K113" i="3"/>
  <c r="M113" i="3"/>
  <c r="N113" i="3" s="1"/>
  <c r="P113" i="3"/>
  <c r="L118" i="3"/>
  <c r="K118" i="3"/>
  <c r="M118" i="3"/>
  <c r="N118" i="3" s="1"/>
  <c r="P118" i="3"/>
  <c r="L129" i="3"/>
  <c r="K129" i="3"/>
  <c r="M129" i="3"/>
  <c r="N129" i="3" s="1"/>
  <c r="P129" i="3"/>
  <c r="K132" i="3"/>
  <c r="M132" i="3"/>
  <c r="N132" i="3" s="1"/>
  <c r="P132" i="3"/>
  <c r="L139" i="3"/>
  <c r="K139" i="3"/>
  <c r="M139" i="3"/>
  <c r="N139" i="3" s="1"/>
  <c r="P139" i="3"/>
  <c r="P6" i="3"/>
  <c r="M6" i="3"/>
  <c r="N6" i="3" s="1"/>
  <c r="L6" i="3"/>
  <c r="K6" i="3"/>
  <c r="K11" i="3"/>
  <c r="M11" i="3"/>
  <c r="N11" i="3" s="1"/>
  <c r="P11" i="3"/>
  <c r="L11" i="3"/>
  <c r="K14" i="3"/>
  <c r="L14" i="3"/>
  <c r="P14" i="3"/>
  <c r="P12" i="3"/>
  <c r="L12" i="3"/>
  <c r="K31" i="3"/>
  <c r="M31" i="3"/>
  <c r="N31" i="3" s="1"/>
  <c r="P31" i="3"/>
  <c r="L31" i="3"/>
  <c r="K29" i="3"/>
  <c r="M29" i="3"/>
  <c r="N29" i="3" s="1"/>
  <c r="P29" i="3"/>
  <c r="L29" i="3"/>
  <c r="K25" i="3"/>
  <c r="M25" i="3"/>
  <c r="N25" i="3" s="1"/>
  <c r="P25" i="3"/>
  <c r="L25" i="3"/>
  <c r="K46" i="3"/>
  <c r="P46" i="3"/>
  <c r="K44" i="3"/>
  <c r="K42" i="3"/>
  <c r="P42" i="3"/>
  <c r="K40" i="3"/>
  <c r="P40" i="3"/>
  <c r="L54" i="3"/>
  <c r="P54" i="3"/>
  <c r="M54" i="3"/>
  <c r="N54" i="3" s="1"/>
  <c r="K54" i="3"/>
  <c r="L61" i="3"/>
  <c r="K61" i="3"/>
  <c r="M61" i="3"/>
  <c r="N61" i="3" s="1"/>
  <c r="P61" i="3"/>
  <c r="L57" i="3"/>
  <c r="K57" i="3"/>
  <c r="M57" i="3"/>
  <c r="N57" i="3" s="1"/>
  <c r="P57" i="3"/>
  <c r="L55" i="3"/>
  <c r="K55" i="3"/>
  <c r="M55" i="3"/>
  <c r="N55" i="3" s="1"/>
  <c r="P55" i="3"/>
  <c r="K70" i="3"/>
  <c r="M70" i="3"/>
  <c r="N70" i="3" s="1"/>
  <c r="P70" i="3"/>
  <c r="L70" i="3"/>
  <c r="M78" i="3"/>
  <c r="N78" i="3" s="1"/>
  <c r="K78" i="3"/>
  <c r="K85" i="3"/>
  <c r="P85" i="3"/>
  <c r="L85" i="3"/>
  <c r="K83" i="3"/>
  <c r="L83" i="3"/>
  <c r="P83" i="3"/>
  <c r="K81" i="3"/>
  <c r="P81" i="3"/>
  <c r="L81" i="3"/>
  <c r="K79" i="3"/>
  <c r="L79" i="3"/>
  <c r="P79" i="3"/>
  <c r="L100" i="3"/>
  <c r="P100" i="3"/>
  <c r="K100" i="3"/>
  <c r="M100" i="3"/>
  <c r="N100" i="3" s="1"/>
  <c r="M98" i="3"/>
  <c r="N98" i="3" s="1"/>
  <c r="L98" i="3"/>
  <c r="L96" i="3"/>
  <c r="P96" i="3"/>
  <c r="K96" i="3"/>
  <c r="M96" i="3"/>
  <c r="N96" i="3" s="1"/>
  <c r="K94" i="3"/>
  <c r="M94" i="3"/>
  <c r="N94" i="3" s="1"/>
  <c r="L94" i="3"/>
  <c r="P94" i="3"/>
  <c r="L106" i="3"/>
  <c r="K106" i="3"/>
  <c r="M106" i="3"/>
  <c r="N106" i="3" s="1"/>
  <c r="P106" i="3"/>
  <c r="K110" i="3"/>
  <c r="M110" i="3"/>
  <c r="N110" i="3" s="1"/>
  <c r="L114" i="3"/>
  <c r="K114" i="3"/>
  <c r="M114" i="3"/>
  <c r="N114" i="3" s="1"/>
  <c r="P114" i="3"/>
  <c r="L112" i="3"/>
  <c r="K112" i="3"/>
  <c r="M112" i="3"/>
  <c r="N112" i="3" s="1"/>
  <c r="P112" i="3"/>
  <c r="P117" i="3"/>
  <c r="L122" i="3"/>
  <c r="K122" i="3"/>
  <c r="M122" i="3"/>
  <c r="N122" i="3" s="1"/>
  <c r="P122" i="3"/>
  <c r="L123" i="3"/>
  <c r="K123" i="3"/>
  <c r="M123" i="3"/>
  <c r="N123" i="3" s="1"/>
  <c r="P123" i="3"/>
  <c r="L125" i="3"/>
  <c r="K125" i="3"/>
  <c r="M125" i="3"/>
  <c r="N125" i="3" s="1"/>
  <c r="P125" i="3"/>
  <c r="L128" i="3"/>
  <c r="K128" i="3"/>
  <c r="M128" i="3"/>
  <c r="N128" i="3" s="1"/>
  <c r="P128" i="3"/>
  <c r="L130" i="3"/>
  <c r="K130" i="3"/>
  <c r="M130" i="3"/>
  <c r="N130" i="3" s="1"/>
  <c r="P130" i="3"/>
  <c r="O27" i="10"/>
  <c r="R27" i="10" s="1"/>
  <c r="S116" i="3"/>
  <c r="M85" i="3"/>
  <c r="N85" i="3" s="1"/>
  <c r="M83" i="3"/>
  <c r="N83" i="3" s="1"/>
  <c r="M81" i="3"/>
  <c r="N81" i="3" s="1"/>
  <c r="M79" i="3"/>
  <c r="N79" i="3" s="1"/>
  <c r="L78" i="3"/>
  <c r="P78" i="3"/>
  <c r="L68" i="3"/>
  <c r="P68" i="3"/>
  <c r="M16" i="3"/>
  <c r="N16" i="3" s="1"/>
  <c r="M14" i="3"/>
  <c r="N14" i="3" s="1"/>
  <c r="M12" i="3"/>
  <c r="N12" i="3" s="1"/>
  <c r="K49" i="3"/>
  <c r="K101" i="3"/>
  <c r="H4" i="9"/>
  <c r="J4" i="9"/>
  <c r="K4" i="9" s="1"/>
  <c r="M5" i="9"/>
  <c r="J5" i="9"/>
  <c r="K5" i="9" s="1"/>
  <c r="H5" i="9"/>
  <c r="I7" i="9"/>
  <c r="M13" i="9"/>
  <c r="J13" i="9"/>
  <c r="K13" i="9" s="1"/>
  <c r="H13" i="9"/>
  <c r="M12" i="9"/>
  <c r="J12" i="9"/>
  <c r="K12" i="9" s="1"/>
  <c r="H12" i="9"/>
  <c r="J11" i="9"/>
  <c r="K11" i="9" s="1"/>
  <c r="H11" i="9"/>
  <c r="J10" i="9"/>
  <c r="K10" i="9" s="1"/>
  <c r="H10" i="9"/>
  <c r="J9" i="9"/>
  <c r="K9" i="9" s="1"/>
  <c r="H9" i="9"/>
  <c r="M8" i="9"/>
  <c r="J8" i="9"/>
  <c r="K8" i="9" s="1"/>
  <c r="H8" i="9"/>
  <c r="M17" i="9"/>
  <c r="J17" i="9"/>
  <c r="K17" i="9" s="1"/>
  <c r="H17" i="9"/>
  <c r="M16" i="9"/>
  <c r="J16" i="9"/>
  <c r="K16" i="9" s="1"/>
  <c r="H16" i="9"/>
  <c r="M15" i="9"/>
  <c r="J15" i="9"/>
  <c r="K15" i="9" s="1"/>
  <c r="H15" i="9"/>
  <c r="M14" i="9"/>
  <c r="J14" i="9"/>
  <c r="K14" i="9" s="1"/>
  <c r="H14" i="9"/>
  <c r="M27" i="9"/>
  <c r="J27" i="9"/>
  <c r="K27" i="9" s="1"/>
  <c r="H27" i="9"/>
  <c r="M26" i="9"/>
  <c r="J26" i="9"/>
  <c r="K26" i="9" s="1"/>
  <c r="H26" i="9"/>
  <c r="M25" i="9"/>
  <c r="J25" i="9"/>
  <c r="K25" i="9" s="1"/>
  <c r="H25" i="9"/>
  <c r="M24" i="9"/>
  <c r="J24" i="9"/>
  <c r="K24" i="9" s="1"/>
  <c r="H24" i="9"/>
  <c r="M23" i="9"/>
  <c r="J23" i="9"/>
  <c r="K23" i="9" s="1"/>
  <c r="H23" i="9"/>
  <c r="I22" i="9"/>
  <c r="I21" i="9"/>
  <c r="M20" i="9"/>
  <c r="J20" i="9"/>
  <c r="K20" i="9" s="1"/>
  <c r="H20" i="9"/>
  <c r="M19" i="9"/>
  <c r="J19" i="9"/>
  <c r="K19" i="9" s="1"/>
  <c r="H19" i="9"/>
  <c r="M18" i="9"/>
  <c r="J18" i="9"/>
  <c r="K18" i="9" s="1"/>
  <c r="H18" i="9"/>
  <c r="M32" i="9"/>
  <c r="I32" i="9"/>
  <c r="M31" i="9"/>
  <c r="I31" i="9"/>
  <c r="M30" i="9"/>
  <c r="I30" i="9"/>
  <c r="J29" i="9"/>
  <c r="K29" i="9" s="1"/>
  <c r="H29" i="9"/>
  <c r="M28" i="9"/>
  <c r="J28" i="9"/>
  <c r="K28" i="9" s="1"/>
  <c r="H28" i="9"/>
  <c r="K63" i="3"/>
  <c r="I4" i="9"/>
  <c r="H7" i="9"/>
  <c r="J7" i="9"/>
  <c r="K7" i="9" s="1"/>
  <c r="M11" i="9"/>
  <c r="M10" i="9"/>
  <c r="M9" i="9"/>
  <c r="M22" i="9"/>
  <c r="J22" i="9"/>
  <c r="K22" i="9" s="1"/>
  <c r="M21" i="9"/>
  <c r="J21" i="9"/>
  <c r="K21" i="9" s="1"/>
  <c r="J32" i="9"/>
  <c r="K32" i="9" s="1"/>
  <c r="J31" i="9"/>
  <c r="K31" i="9" s="1"/>
  <c r="J30" i="9"/>
  <c r="K30" i="9" s="1"/>
  <c r="M29" i="9"/>
  <c r="K158" i="3"/>
  <c r="N157" i="3"/>
  <c r="O157" i="3" s="1"/>
  <c r="M157" i="3"/>
  <c r="G386" i="11"/>
  <c r="G64" i="12" s="1"/>
  <c r="D390" i="11"/>
  <c r="H386" i="11"/>
  <c r="G65" i="12" s="1"/>
  <c r="E386" i="11"/>
  <c r="G61" i="12" s="1"/>
  <c r="D388" i="11"/>
  <c r="F388" i="11"/>
  <c r="G388" i="11" s="1"/>
  <c r="H388" i="11"/>
  <c r="E390" i="11"/>
  <c r="E388" i="11"/>
  <c r="F390" i="11"/>
  <c r="G390" i="11" s="1"/>
  <c r="M55" i="5" l="1"/>
  <c r="M18" i="5"/>
  <c r="M46" i="5"/>
  <c r="K126" i="3"/>
  <c r="L126" i="3"/>
  <c r="L99" i="3"/>
  <c r="K58" i="3"/>
  <c r="K98" i="3"/>
  <c r="P99" i="3"/>
  <c r="M58" i="3"/>
  <c r="N58" i="3" s="1"/>
  <c r="K99" i="3"/>
  <c r="L58" i="3"/>
  <c r="P58" i="3"/>
  <c r="M99" i="3"/>
  <c r="N99" i="3" s="1"/>
  <c r="P59" i="3"/>
  <c r="P45" i="3"/>
  <c r="M59" i="3"/>
  <c r="N59" i="3" s="1"/>
  <c r="K9" i="3"/>
  <c r="K12" i="3"/>
  <c r="P126" i="3"/>
  <c r="P108" i="3"/>
  <c r="M108" i="3"/>
  <c r="N108" i="3" s="1"/>
  <c r="K108" i="3"/>
  <c r="L108" i="3"/>
  <c r="S86" i="3"/>
  <c r="G71" i="17" s="1"/>
  <c r="P98" i="3"/>
  <c r="P82" i="3"/>
  <c r="M82" i="3"/>
  <c r="N82" i="3" s="1"/>
  <c r="P71" i="3"/>
  <c r="H25" i="10"/>
  <c r="K56" i="5"/>
  <c r="S56" i="5" s="1"/>
  <c r="K13" i="10"/>
  <c r="J13" i="10"/>
  <c r="J56" i="5"/>
  <c r="P16" i="3"/>
  <c r="K59" i="3"/>
  <c r="S59" i="3" s="1"/>
  <c r="G47" i="17" s="1"/>
  <c r="L59" i="3"/>
  <c r="P28" i="3"/>
  <c r="L26" i="3"/>
  <c r="K26" i="3"/>
  <c r="M10" i="3"/>
  <c r="N10" i="3" s="1"/>
  <c r="K10" i="3"/>
  <c r="L10" i="3"/>
  <c r="P9" i="3"/>
  <c r="L9" i="3"/>
  <c r="M9" i="3"/>
  <c r="N9" i="3" s="1"/>
  <c r="P69" i="3"/>
  <c r="S137" i="3"/>
  <c r="L69" i="3"/>
  <c r="K69" i="3"/>
  <c r="P51" i="6"/>
  <c r="G46" i="14" s="1"/>
  <c r="M69" i="3"/>
  <c r="N69" i="3" s="1"/>
  <c r="S115" i="3"/>
  <c r="G41" i="12" s="1"/>
  <c r="O28" i="8"/>
  <c r="P49" i="6"/>
  <c r="G44" i="14" s="1"/>
  <c r="O89" i="10"/>
  <c r="R89" i="10" s="1"/>
  <c r="G76" i="13" s="1"/>
  <c r="S62" i="3"/>
  <c r="G50" i="17" s="1"/>
  <c r="P10" i="3"/>
  <c r="P20" i="6"/>
  <c r="O95" i="8"/>
  <c r="G41" i="16" s="1"/>
  <c r="O85" i="8"/>
  <c r="G31" i="16" s="1"/>
  <c r="O44" i="8"/>
  <c r="O42" i="8"/>
  <c r="O40" i="8"/>
  <c r="O38" i="8"/>
  <c r="O34" i="8"/>
  <c r="P63" i="6"/>
  <c r="G57" i="14" s="1"/>
  <c r="M43" i="5"/>
  <c r="M37" i="5"/>
  <c r="J49" i="5"/>
  <c r="K40" i="5"/>
  <c r="M24" i="5"/>
  <c r="M52" i="5"/>
  <c r="B24" i="10"/>
  <c r="B70" i="10"/>
  <c r="B59" i="13" s="1"/>
  <c r="B13" i="12"/>
  <c r="B23" i="10"/>
  <c r="B69" i="10"/>
  <c r="B58" i="13" s="1"/>
  <c r="B12" i="12"/>
  <c r="B68" i="10"/>
  <c r="B57" i="13" s="1"/>
  <c r="B22" i="10"/>
  <c r="B11" i="12"/>
  <c r="B67" i="10"/>
  <c r="B56" i="13" s="1"/>
  <c r="B21" i="10"/>
  <c r="B10" i="12"/>
  <c r="B20" i="10"/>
  <c r="B66" i="10"/>
  <c r="B55" i="13" s="1"/>
  <c r="B9" i="12"/>
  <c r="B19" i="10"/>
  <c r="B65" i="10"/>
  <c r="B54" i="13" s="1"/>
  <c r="B8" i="12"/>
  <c r="B18" i="10"/>
  <c r="B64" i="10"/>
  <c r="B53" i="13" s="1"/>
  <c r="B7" i="12"/>
  <c r="S128" i="3"/>
  <c r="G111" i="17" s="1"/>
  <c r="S124" i="3"/>
  <c r="G107" i="17" s="1"/>
  <c r="K92" i="3"/>
  <c r="M24" i="3"/>
  <c r="N24" i="3" s="1"/>
  <c r="M71" i="3"/>
  <c r="N71" i="3" s="1"/>
  <c r="S11" i="3"/>
  <c r="G9" i="17" s="1"/>
  <c r="M92" i="3"/>
  <c r="N92" i="3" s="1"/>
  <c r="L132" i="3"/>
  <c r="O132" i="3"/>
  <c r="L110" i="3"/>
  <c r="O110" i="3"/>
  <c r="L133" i="3"/>
  <c r="O133" i="3"/>
  <c r="K24" i="3"/>
  <c r="P92" i="3"/>
  <c r="K117" i="3"/>
  <c r="O117" i="3"/>
  <c r="L24" i="3"/>
  <c r="L92" i="3"/>
  <c r="S72" i="3"/>
  <c r="G58" i="17" s="1"/>
  <c r="K71" i="3"/>
  <c r="O71" i="3"/>
  <c r="H28" i="5"/>
  <c r="L28" i="5"/>
  <c r="K28" i="5"/>
  <c r="I28" i="5"/>
  <c r="J28" i="5"/>
  <c r="H13" i="10"/>
  <c r="L13" i="10"/>
  <c r="L16" i="3"/>
  <c r="K16" i="3"/>
  <c r="M28" i="3"/>
  <c r="N28" i="3" s="1"/>
  <c r="O28" i="3"/>
  <c r="K28" i="3"/>
  <c r="P27" i="3"/>
  <c r="L27" i="3"/>
  <c r="M27" i="3"/>
  <c r="N27" i="3" s="1"/>
  <c r="K27" i="3"/>
  <c r="P24" i="3"/>
  <c r="S54" i="3"/>
  <c r="G42" i="17" s="1"/>
  <c r="O93" i="8"/>
  <c r="G39" i="16" s="1"/>
  <c r="Q158" i="3"/>
  <c r="P158" i="3"/>
  <c r="O90" i="10"/>
  <c r="R90" i="10" s="1"/>
  <c r="M87" i="8"/>
  <c r="L87" i="8"/>
  <c r="P26" i="9"/>
  <c r="F26" i="15" s="1"/>
  <c r="P4" i="9"/>
  <c r="F4" i="15" s="1"/>
  <c r="P9" i="9"/>
  <c r="F9" i="15" s="1"/>
  <c r="S139" i="3"/>
  <c r="O86" i="8"/>
  <c r="O96" i="8"/>
  <c r="G42" i="16" s="1"/>
  <c r="O92" i="8"/>
  <c r="G38" i="16" s="1"/>
  <c r="P67" i="6"/>
  <c r="G61" i="14" s="1"/>
  <c r="P59" i="6"/>
  <c r="G53" i="14" s="1"/>
  <c r="P50" i="6"/>
  <c r="G45" i="14" s="1"/>
  <c r="O84" i="8"/>
  <c r="G30" i="16" s="1"/>
  <c r="O83" i="8"/>
  <c r="G29" i="16" s="1"/>
  <c r="O36" i="8"/>
  <c r="O32" i="8"/>
  <c r="O30" i="8"/>
  <c r="J55" i="5"/>
  <c r="K46" i="5"/>
  <c r="J37" i="5"/>
  <c r="K52" i="5"/>
  <c r="J43" i="5"/>
  <c r="K21" i="5"/>
  <c r="K15" i="5"/>
  <c r="H12" i="5"/>
  <c r="K9" i="5"/>
  <c r="S130" i="3"/>
  <c r="G113" i="17" s="1"/>
  <c r="S126" i="3"/>
  <c r="G109" i="17" s="1"/>
  <c r="P133" i="3"/>
  <c r="S118" i="3"/>
  <c r="G101" i="17" s="1"/>
  <c r="L117" i="3"/>
  <c r="P110" i="3"/>
  <c r="S110" i="3" s="1"/>
  <c r="G92" i="17" s="1"/>
  <c r="S60" i="3"/>
  <c r="G48" i="17" s="1"/>
  <c r="M133" i="3"/>
  <c r="N133" i="3" s="1"/>
  <c r="S122" i="3"/>
  <c r="G105" i="17" s="1"/>
  <c r="S84" i="3"/>
  <c r="G69" i="17" s="1"/>
  <c r="K133" i="3"/>
  <c r="S13" i="3"/>
  <c r="G11" i="17" s="1"/>
  <c r="S68" i="3"/>
  <c r="G54" i="17" s="1"/>
  <c r="S80" i="3"/>
  <c r="G65" i="17" s="1"/>
  <c r="S47" i="3"/>
  <c r="G38" i="17" s="1"/>
  <c r="M13" i="10"/>
  <c r="S15" i="3"/>
  <c r="G13" i="17" s="1"/>
  <c r="K87" i="8"/>
  <c r="O88" i="8"/>
  <c r="O94" i="8"/>
  <c r="G40" i="16" s="1"/>
  <c r="S70" i="3"/>
  <c r="G56" i="17" s="1"/>
  <c r="J90" i="8"/>
  <c r="I90" i="8"/>
  <c r="K90" i="8"/>
  <c r="M90" i="8"/>
  <c r="P11" i="9"/>
  <c r="F11" i="15" s="1"/>
  <c r="P24" i="9"/>
  <c r="F24" i="15" s="1"/>
  <c r="J91" i="8"/>
  <c r="K91" i="8"/>
  <c r="M91" i="8"/>
  <c r="I91" i="8"/>
  <c r="S78" i="3"/>
  <c r="G63" i="17" s="1"/>
  <c r="S55" i="3"/>
  <c r="G43" i="17" s="1"/>
  <c r="S61" i="3"/>
  <c r="G49" i="17" s="1"/>
  <c r="S134" i="3"/>
  <c r="G117" i="17" s="1"/>
  <c r="O29" i="8"/>
  <c r="O31" i="8"/>
  <c r="O33" i="8"/>
  <c r="O35" i="8"/>
  <c r="O37" i="8"/>
  <c r="O39" i="8"/>
  <c r="O41" i="8"/>
  <c r="O43" i="8"/>
  <c r="O45" i="8"/>
  <c r="O5" i="8"/>
  <c r="G6" i="16" s="1"/>
  <c r="I87" i="8"/>
  <c r="J87" i="8"/>
  <c r="J89" i="8"/>
  <c r="I89" i="8"/>
  <c r="K89" i="8"/>
  <c r="M89" i="8"/>
  <c r="O81" i="8"/>
  <c r="G27" i="16" s="1"/>
  <c r="S17" i="3"/>
  <c r="G15" i="17" s="1"/>
  <c r="S113" i="3"/>
  <c r="G95" i="17" s="1"/>
  <c r="S127" i="3"/>
  <c r="G110" i="17" s="1"/>
  <c r="S129" i="3"/>
  <c r="G112" i="17" s="1"/>
  <c r="S138" i="3"/>
  <c r="S107" i="3"/>
  <c r="G89" i="17" s="1"/>
  <c r="S56" i="3"/>
  <c r="G44" i="17" s="1"/>
  <c r="O27" i="8"/>
  <c r="P52" i="6"/>
  <c r="P46" i="6"/>
  <c r="G42" i="14" s="1"/>
  <c r="P47" i="6"/>
  <c r="G43" i="14" s="1"/>
  <c r="P41" i="6"/>
  <c r="G37" i="14" s="1"/>
  <c r="P43" i="6"/>
  <c r="G39" i="14" s="1"/>
  <c r="P40" i="6"/>
  <c r="G36" i="14" s="1"/>
  <c r="P57" i="6"/>
  <c r="G51" i="14" s="1"/>
  <c r="P61" i="6"/>
  <c r="G55" i="14" s="1"/>
  <c r="P65" i="6"/>
  <c r="G59" i="14" s="1"/>
  <c r="P56" i="6"/>
  <c r="G50" i="14" s="1"/>
  <c r="P39" i="6"/>
  <c r="G35" i="14" s="1"/>
  <c r="P42" i="6"/>
  <c r="G38" i="14" s="1"/>
  <c r="P44" i="6"/>
  <c r="G40" i="14" s="1"/>
  <c r="P58" i="6"/>
  <c r="G52" i="14" s="1"/>
  <c r="P60" i="6"/>
  <c r="G54" i="14" s="1"/>
  <c r="P62" i="6"/>
  <c r="G56" i="14" s="1"/>
  <c r="P64" i="6"/>
  <c r="G58" i="14" s="1"/>
  <c r="P66" i="6"/>
  <c r="G60" i="14" s="1"/>
  <c r="P68" i="6"/>
  <c r="G62" i="14" s="1"/>
  <c r="J34" i="5"/>
  <c r="S125" i="3"/>
  <c r="G108" i="17" s="1"/>
  <c r="I34" i="5"/>
  <c r="K55" i="5"/>
  <c r="J52" i="5"/>
  <c r="K49" i="5"/>
  <c r="J46" i="5"/>
  <c r="K43" i="5"/>
  <c r="J40" i="5"/>
  <c r="K37" i="5"/>
  <c r="K34" i="5"/>
  <c r="O6" i="8"/>
  <c r="G7" i="16" s="1"/>
  <c r="O7" i="8"/>
  <c r="G8" i="16" s="1"/>
  <c r="O9" i="8"/>
  <c r="G10" i="16" s="1"/>
  <c r="O11" i="8"/>
  <c r="G12" i="16" s="1"/>
  <c r="O13" i="8"/>
  <c r="G14" i="16" s="1"/>
  <c r="O15" i="8"/>
  <c r="G16" i="16" s="1"/>
  <c r="O17" i="8"/>
  <c r="G18" i="16" s="1"/>
  <c r="O19" i="8"/>
  <c r="G20" i="16" s="1"/>
  <c r="O20" i="8"/>
  <c r="G21" i="16" s="1"/>
  <c r="O22" i="8"/>
  <c r="G23" i="16" s="1"/>
  <c r="O4" i="8"/>
  <c r="G5" i="16" s="1"/>
  <c r="S114" i="3"/>
  <c r="G96" i="17" s="1"/>
  <c r="S6" i="3"/>
  <c r="G5" i="17" s="1"/>
  <c r="H55" i="5"/>
  <c r="I52" i="5"/>
  <c r="H49" i="5"/>
  <c r="I46" i="5"/>
  <c r="H43" i="5"/>
  <c r="I40" i="5"/>
  <c r="H37" i="5"/>
  <c r="I55" i="5"/>
  <c r="H52" i="5"/>
  <c r="I49" i="5"/>
  <c r="H46" i="5"/>
  <c r="I43" i="5"/>
  <c r="H40" i="5"/>
  <c r="I37" i="5"/>
  <c r="O71" i="10"/>
  <c r="R71" i="10" s="1"/>
  <c r="G60" i="13" s="1"/>
  <c r="P36" i="6"/>
  <c r="G32" i="14" s="1"/>
  <c r="O8" i="8"/>
  <c r="G9" i="16" s="1"/>
  <c r="O10" i="8"/>
  <c r="G11" i="16" s="1"/>
  <c r="O12" i="8"/>
  <c r="G13" i="16" s="1"/>
  <c r="O14" i="8"/>
  <c r="G15" i="16" s="1"/>
  <c r="O16" i="8"/>
  <c r="G17" i="16" s="1"/>
  <c r="O18" i="8"/>
  <c r="G19" i="16" s="1"/>
  <c r="O21" i="8"/>
  <c r="G22" i="16" s="1"/>
  <c r="M34" i="5"/>
  <c r="O78" i="10"/>
  <c r="R78" i="10" s="1"/>
  <c r="G67" i="13" s="1"/>
  <c r="O48" i="10"/>
  <c r="R48" i="10" s="1"/>
  <c r="O86" i="10"/>
  <c r="R86" i="10" s="1"/>
  <c r="G75" i="13" s="1"/>
  <c r="O77" i="10"/>
  <c r="R77" i="10" s="1"/>
  <c r="O60" i="10"/>
  <c r="R60" i="10" s="1"/>
  <c r="G50" i="13" s="1"/>
  <c r="O49" i="10"/>
  <c r="R49" i="10" s="1"/>
  <c r="O79" i="10"/>
  <c r="R79" i="10" s="1"/>
  <c r="G68" i="13" s="1"/>
  <c r="O47" i="10"/>
  <c r="R47" i="10" s="1"/>
  <c r="O38" i="10"/>
  <c r="R38" i="10" s="1"/>
  <c r="G28" i="13" s="1"/>
  <c r="O29" i="10"/>
  <c r="R29" i="10" s="1"/>
  <c r="G16" i="13" s="1"/>
  <c r="O25" i="10"/>
  <c r="R25" i="10" s="1"/>
  <c r="O46" i="10"/>
  <c r="R46" i="10" s="1"/>
  <c r="O44" i="10"/>
  <c r="R44" i="10" s="1"/>
  <c r="G35" i="13" s="1"/>
  <c r="M27" i="5"/>
  <c r="I27" i="5"/>
  <c r="M21" i="5"/>
  <c r="I21" i="5"/>
  <c r="M15" i="5"/>
  <c r="I15" i="5"/>
  <c r="M9" i="5"/>
  <c r="I9" i="5"/>
  <c r="S28" i="5"/>
  <c r="I24" i="5"/>
  <c r="I18" i="5"/>
  <c r="H24" i="5"/>
  <c r="H18" i="5"/>
  <c r="H27" i="5"/>
  <c r="H21" i="5"/>
  <c r="H15" i="5"/>
  <c r="I12" i="5"/>
  <c r="H9" i="5"/>
  <c r="J24" i="5"/>
  <c r="J18" i="5"/>
  <c r="J12" i="5"/>
  <c r="J27" i="5"/>
  <c r="K24" i="5"/>
  <c r="J21" i="5"/>
  <c r="K18" i="5"/>
  <c r="J15" i="5"/>
  <c r="K12" i="5"/>
  <c r="J9" i="5"/>
  <c r="J6" i="5"/>
  <c r="K6" i="5"/>
  <c r="H6" i="5"/>
  <c r="M6" i="5"/>
  <c r="I6" i="5"/>
  <c r="S85" i="3"/>
  <c r="G70" i="17" s="1"/>
  <c r="S123" i="3"/>
  <c r="G106" i="17" s="1"/>
  <c r="S112" i="3"/>
  <c r="G94" i="17" s="1"/>
  <c r="S106" i="3"/>
  <c r="M143" i="3" s="1"/>
  <c r="S57" i="3"/>
  <c r="G45" i="17" s="1"/>
  <c r="S109" i="3"/>
  <c r="S58" i="3"/>
  <c r="G46" i="17" s="1"/>
  <c r="S100" i="3"/>
  <c r="G84" i="17" s="1"/>
  <c r="S105" i="3"/>
  <c r="S32" i="3"/>
  <c r="G26" i="17" s="1"/>
  <c r="S81" i="3"/>
  <c r="G66" i="17" s="1"/>
  <c r="S79" i="3"/>
  <c r="G64" i="17" s="1"/>
  <c r="S83" i="3"/>
  <c r="G68" i="17" s="1"/>
  <c r="S12" i="3"/>
  <c r="G10" i="17" s="1"/>
  <c r="S14" i="3"/>
  <c r="G12" i="17" s="1"/>
  <c r="S9" i="3"/>
  <c r="G7" i="17" s="1"/>
  <c r="P25" i="9"/>
  <c r="F25" i="15" s="1"/>
  <c r="P27" i="9"/>
  <c r="F27" i="15" s="1"/>
  <c r="P10" i="9"/>
  <c r="F10" i="15" s="1"/>
  <c r="P7" i="9"/>
  <c r="F7" i="15" s="1"/>
  <c r="P30" i="9"/>
  <c r="F30" i="15" s="1"/>
  <c r="P31" i="9"/>
  <c r="F31" i="15" s="1"/>
  <c r="P32" i="9"/>
  <c r="P21" i="9"/>
  <c r="F21" i="15" s="1"/>
  <c r="P22" i="9"/>
  <c r="F22" i="15" s="1"/>
  <c r="P28" i="9"/>
  <c r="F28" i="15" s="1"/>
  <c r="P19" i="9"/>
  <c r="P23" i="9"/>
  <c r="F23" i="15" s="1"/>
  <c r="P15" i="9"/>
  <c r="F15" i="15" s="1"/>
  <c r="P17" i="9"/>
  <c r="F17" i="15" s="1"/>
  <c r="P13" i="9"/>
  <c r="F13" i="15" s="1"/>
  <c r="P29" i="9"/>
  <c r="F29" i="15" s="1"/>
  <c r="P18" i="9"/>
  <c r="F18" i="15" s="1"/>
  <c r="P20" i="9"/>
  <c r="P14" i="9"/>
  <c r="F14" i="15" s="1"/>
  <c r="P16" i="9"/>
  <c r="F16" i="15" s="1"/>
  <c r="P8" i="9"/>
  <c r="F8" i="15" s="1"/>
  <c r="P12" i="9"/>
  <c r="F12" i="15" s="1"/>
  <c r="P5" i="9"/>
  <c r="F5" i="15" s="1"/>
  <c r="N158" i="3"/>
  <c r="O158" i="3" s="1"/>
  <c r="M158" i="3"/>
  <c r="S157" i="3"/>
  <c r="I386" i="11"/>
  <c r="G66" i="12" s="1"/>
  <c r="I388" i="11"/>
  <c r="I374" i="11" s="1"/>
  <c r="I390" i="11"/>
  <c r="G97" i="17" l="1"/>
  <c r="S16" i="3"/>
  <c r="G14" i="17" s="1"/>
  <c r="S108" i="3"/>
  <c r="S69" i="3"/>
  <c r="G55" i="17" s="1"/>
  <c r="S82" i="3"/>
  <c r="G67" i="17" s="1"/>
  <c r="S10" i="3"/>
  <c r="G8" i="17" s="1"/>
  <c r="S71" i="3"/>
  <c r="G57" i="17" s="1"/>
  <c r="G35" i="12"/>
  <c r="S117" i="3"/>
  <c r="G100" i="17" s="1"/>
  <c r="S132" i="3"/>
  <c r="G115" i="17" s="1"/>
  <c r="O13" i="10"/>
  <c r="R13" i="10" s="1"/>
  <c r="G42" i="12"/>
  <c r="G98" i="17"/>
  <c r="G77" i="13"/>
  <c r="G36" i="12"/>
  <c r="G32" i="16"/>
  <c r="G54" i="12"/>
  <c r="G34" i="16"/>
  <c r="G55" i="12"/>
  <c r="I143" i="3"/>
  <c r="O143" i="3" s="1"/>
  <c r="G91" i="17"/>
  <c r="F121" i="17" s="1"/>
  <c r="G90" i="17"/>
  <c r="G40" i="12"/>
  <c r="G88" i="17"/>
  <c r="F122" i="17" s="1"/>
  <c r="G39" i="12"/>
  <c r="G66" i="13"/>
  <c r="G34" i="12"/>
  <c r="G38" i="13"/>
  <c r="G29" i="12"/>
  <c r="G41" i="13"/>
  <c r="G32" i="12"/>
  <c r="G39" i="13"/>
  <c r="G30" i="12"/>
  <c r="G40" i="13"/>
  <c r="G31" i="12"/>
  <c r="G13" i="13"/>
  <c r="G14" i="12"/>
  <c r="I375" i="11"/>
  <c r="G67" i="12"/>
  <c r="F20" i="15"/>
  <c r="G47" i="12"/>
  <c r="F19" i="15"/>
  <c r="G46" i="12"/>
  <c r="O91" i="8"/>
  <c r="G37" i="16" s="1"/>
  <c r="S133" i="3"/>
  <c r="G116" i="17" s="1"/>
  <c r="O87" i="8"/>
  <c r="O90" i="8"/>
  <c r="G36" i="16" s="1"/>
  <c r="O89" i="8"/>
  <c r="G35" i="16" s="1"/>
  <c r="Q40" i="3"/>
  <c r="S40" i="3" s="1"/>
  <c r="G31" i="17" s="1"/>
  <c r="Q44" i="3"/>
  <c r="S44" i="3" s="1"/>
  <c r="G35" i="17" s="1"/>
  <c r="Q41" i="3"/>
  <c r="S41" i="3" s="1"/>
  <c r="G32" i="17" s="1"/>
  <c r="Q45" i="3"/>
  <c r="S45" i="3" s="1"/>
  <c r="G36" i="17" s="1"/>
  <c r="Q42" i="3"/>
  <c r="S42" i="3" s="1"/>
  <c r="G33" i="17" s="1"/>
  <c r="Q46" i="3"/>
  <c r="S46" i="3" s="1"/>
  <c r="G37" i="17" s="1"/>
  <c r="Q43" i="3"/>
  <c r="S43" i="3" s="1"/>
  <c r="G34" i="17" s="1"/>
  <c r="Q39" i="3"/>
  <c r="S39" i="3" s="1"/>
  <c r="G30" i="17" s="1"/>
  <c r="P37" i="6"/>
  <c r="P38" i="6"/>
  <c r="G34" i="14" s="1"/>
  <c r="I373" i="11"/>
  <c r="Q93" i="3"/>
  <c r="S93" i="3" s="1"/>
  <c r="G77" i="17" s="1"/>
  <c r="Q94" i="3"/>
  <c r="S94" i="3" s="1"/>
  <c r="G78" i="17" s="1"/>
  <c r="Q97" i="3"/>
  <c r="S97" i="3" s="1"/>
  <c r="G81" i="17" s="1"/>
  <c r="Q98" i="3"/>
  <c r="S98" i="3" s="1"/>
  <c r="G82" i="17" s="1"/>
  <c r="Q92" i="3"/>
  <c r="S92" i="3" s="1"/>
  <c r="G76" i="17" s="1"/>
  <c r="Q24" i="3"/>
  <c r="S24" i="3" s="1"/>
  <c r="G18" i="17" s="1"/>
  <c r="Q95" i="3"/>
  <c r="S95" i="3" s="1"/>
  <c r="G79" i="17" s="1"/>
  <c r="Q96" i="3"/>
  <c r="S96" i="3" s="1"/>
  <c r="G80" i="17" s="1"/>
  <c r="Q99" i="3"/>
  <c r="S99" i="3" s="1"/>
  <c r="G83" i="17" s="1"/>
  <c r="Q25" i="3"/>
  <c r="S25" i="3" s="1"/>
  <c r="G19" i="17" s="1"/>
  <c r="Q26" i="3"/>
  <c r="S26" i="3" s="1"/>
  <c r="G20" i="17" s="1"/>
  <c r="Q27" i="3"/>
  <c r="S27" i="3" s="1"/>
  <c r="G21" i="17" s="1"/>
  <c r="Q28" i="3"/>
  <c r="S28" i="3" s="1"/>
  <c r="G22" i="17" s="1"/>
  <c r="Q29" i="3"/>
  <c r="S29" i="3" s="1"/>
  <c r="G23" i="17" s="1"/>
  <c r="Q30" i="3"/>
  <c r="S30" i="3" s="1"/>
  <c r="G24" i="17" s="1"/>
  <c r="Q31" i="3"/>
  <c r="S31" i="3" s="1"/>
  <c r="G25" i="17" s="1"/>
  <c r="F123" i="17" l="1"/>
  <c r="G33" i="16"/>
  <c r="G56" i="12"/>
  <c r="G33" i="14"/>
  <c r="G50" i="12"/>
  <c r="P32" i="6"/>
  <c r="G30" i="14" s="1"/>
  <c r="P8" i="6"/>
  <c r="G7" i="14" s="1"/>
  <c r="P11" i="6"/>
  <c r="G10" i="14" s="1"/>
  <c r="P12" i="6"/>
  <c r="G11" i="14" s="1"/>
  <c r="P13" i="6"/>
  <c r="G12" i="14" s="1"/>
  <c r="P14" i="6"/>
  <c r="G13" i="14" s="1"/>
  <c r="P15" i="6"/>
  <c r="G14" i="14" s="1"/>
  <c r="P16" i="6"/>
  <c r="G15" i="14" s="1"/>
  <c r="P17" i="6"/>
  <c r="G16" i="14" s="1"/>
  <c r="P19" i="6"/>
  <c r="G18" i="14" s="1"/>
  <c r="P21" i="6"/>
  <c r="G20" i="14" s="1"/>
  <c r="P23" i="6"/>
  <c r="G22" i="14" s="1"/>
  <c r="P25" i="6"/>
  <c r="G24" i="14" s="1"/>
  <c r="P27" i="6"/>
  <c r="G26" i="14" s="1"/>
  <c r="P29" i="6"/>
  <c r="G28" i="14" s="1"/>
  <c r="P7" i="6"/>
  <c r="G6" i="14" s="1"/>
  <c r="P6" i="6"/>
  <c r="G5" i="14" s="1"/>
  <c r="N54" i="5"/>
  <c r="S54" i="5" s="1"/>
  <c r="N50" i="5"/>
  <c r="N48" i="5"/>
  <c r="S48" i="5" s="1"/>
  <c r="N44" i="5"/>
  <c r="N42" i="5"/>
  <c r="S42" i="5" s="1"/>
  <c r="N38" i="5"/>
  <c r="N36" i="5"/>
  <c r="S36" i="5" s="1"/>
  <c r="N26" i="5"/>
  <c r="S26" i="5" s="1"/>
  <c r="N22" i="5"/>
  <c r="N20" i="5"/>
  <c r="S20" i="5" s="1"/>
  <c r="N16" i="5"/>
  <c r="N14" i="5"/>
  <c r="S14" i="5" s="1"/>
  <c r="N10" i="5"/>
  <c r="N8" i="5"/>
  <c r="S8" i="5" s="1"/>
  <c r="N75" i="10"/>
  <c r="O75" i="10" s="1"/>
  <c r="R75" i="10" s="1"/>
  <c r="G64" i="13" s="1"/>
  <c r="N63" i="10"/>
  <c r="O63" i="10" s="1"/>
  <c r="R63" i="10" s="1"/>
  <c r="G52" i="13" s="1"/>
  <c r="N57" i="10"/>
  <c r="O57" i="10" s="1"/>
  <c r="R57" i="10" s="1"/>
  <c r="G47" i="13" s="1"/>
  <c r="N55" i="10"/>
  <c r="O55" i="10" s="1"/>
  <c r="R55" i="10" s="1"/>
  <c r="G45" i="13" s="1"/>
  <c r="N54" i="10"/>
  <c r="O54" i="10" s="1"/>
  <c r="R54" i="10" s="1"/>
  <c r="G44" i="13" s="1"/>
  <c r="N43" i="10"/>
  <c r="O43" i="10" s="1"/>
  <c r="R43" i="10" s="1"/>
  <c r="N41" i="10"/>
  <c r="O41" i="10" s="1"/>
  <c r="R41" i="10" s="1"/>
  <c r="N40" i="10"/>
  <c r="O40" i="10" s="1"/>
  <c r="R40" i="10" s="1"/>
  <c r="N35" i="10"/>
  <c r="O35" i="10" s="1"/>
  <c r="R35" i="10" s="1"/>
  <c r="G24" i="13" s="1"/>
  <c r="N34" i="10"/>
  <c r="O34" i="10" s="1"/>
  <c r="R34" i="10" s="1"/>
  <c r="N32" i="10"/>
  <c r="O32" i="10" s="1"/>
  <c r="R32" i="10" s="1"/>
  <c r="N33" i="10"/>
  <c r="O33" i="10" s="1"/>
  <c r="R33" i="10" s="1"/>
  <c r="N28" i="10"/>
  <c r="O28" i="10" s="1"/>
  <c r="R28" i="10" s="1"/>
  <c r="G15" i="13" s="1"/>
  <c r="N23" i="10"/>
  <c r="O23" i="10" s="1"/>
  <c r="R23" i="10" s="1"/>
  <c r="N21" i="10"/>
  <c r="O21" i="10" s="1"/>
  <c r="R21" i="10" s="1"/>
  <c r="N19" i="10"/>
  <c r="O19" i="10" s="1"/>
  <c r="R19" i="10" s="1"/>
  <c r="N17" i="10"/>
  <c r="O17" i="10" s="1"/>
  <c r="R17" i="10" s="1"/>
  <c r="N7" i="10"/>
  <c r="O7" i="10" s="1"/>
  <c r="R7" i="10" s="1"/>
  <c r="N9" i="10"/>
  <c r="O9" i="10" s="1"/>
  <c r="R9" i="10" s="1"/>
  <c r="N11" i="10"/>
  <c r="O11" i="10" s="1"/>
  <c r="R11" i="10" s="1"/>
  <c r="N5" i="10"/>
  <c r="O5" i="10" s="1"/>
  <c r="R5" i="10" s="1"/>
  <c r="P34" i="6"/>
  <c r="G31" i="14" s="1"/>
  <c r="P9" i="6"/>
  <c r="G8" i="14" s="1"/>
  <c r="P10" i="6"/>
  <c r="G9" i="14" s="1"/>
  <c r="P18" i="6"/>
  <c r="G17" i="14" s="1"/>
  <c r="G19" i="14"/>
  <c r="P22" i="6"/>
  <c r="G21" i="14" s="1"/>
  <c r="P24" i="6"/>
  <c r="G23" i="14" s="1"/>
  <c r="P26" i="6"/>
  <c r="G25" i="14" s="1"/>
  <c r="P28" i="6"/>
  <c r="G27" i="14" s="1"/>
  <c r="P30" i="6"/>
  <c r="G29" i="14" s="1"/>
  <c r="N53" i="5"/>
  <c r="N51" i="5"/>
  <c r="S51" i="5" s="1"/>
  <c r="N47" i="5"/>
  <c r="N45" i="5"/>
  <c r="S45" i="5" s="1"/>
  <c r="N41" i="5"/>
  <c r="N39" i="5"/>
  <c r="S39" i="5" s="1"/>
  <c r="N35" i="5"/>
  <c r="N32" i="5"/>
  <c r="N33" i="5"/>
  <c r="S33" i="5" s="1"/>
  <c r="N25" i="5"/>
  <c r="N23" i="5"/>
  <c r="S23" i="5" s="1"/>
  <c r="N19" i="5"/>
  <c r="N17" i="5"/>
  <c r="S17" i="5" s="1"/>
  <c r="N13" i="5"/>
  <c r="N11" i="5"/>
  <c r="S11" i="5" s="1"/>
  <c r="N7" i="5"/>
  <c r="N5" i="5"/>
  <c r="S5" i="5" s="1"/>
  <c r="N4" i="5"/>
  <c r="N84" i="10"/>
  <c r="O84" i="10" s="1"/>
  <c r="R84" i="10" s="1"/>
  <c r="G73" i="13" s="1"/>
  <c r="N82" i="10"/>
  <c r="O82" i="10" s="1"/>
  <c r="R82" i="10" s="1"/>
  <c r="G71" i="13" s="1"/>
  <c r="N81" i="10"/>
  <c r="O81" i="10" s="1"/>
  <c r="R81" i="10" s="1"/>
  <c r="G70" i="13" s="1"/>
  <c r="N73" i="10"/>
  <c r="O73" i="10" s="1"/>
  <c r="R73" i="10" s="1"/>
  <c r="G62" i="13" s="1"/>
  <c r="N76" i="10"/>
  <c r="O76" i="10" s="1"/>
  <c r="R76" i="10" s="1"/>
  <c r="G65" i="13" s="1"/>
  <c r="N74" i="10"/>
  <c r="O74" i="10" s="1"/>
  <c r="R74" i="10" s="1"/>
  <c r="G63" i="13" s="1"/>
  <c r="N64" i="10"/>
  <c r="O64" i="10" s="1"/>
  <c r="R64" i="10" s="1"/>
  <c r="G53" i="13" s="1"/>
  <c r="N65" i="10"/>
  <c r="O65" i="10" s="1"/>
  <c r="R65" i="10" s="1"/>
  <c r="G54" i="13" s="1"/>
  <c r="N66" i="10"/>
  <c r="O66" i="10" s="1"/>
  <c r="R66" i="10" s="1"/>
  <c r="G55" i="13" s="1"/>
  <c r="N67" i="10"/>
  <c r="O67" i="10" s="1"/>
  <c r="R67" i="10" s="1"/>
  <c r="G56" i="13" s="1"/>
  <c r="N68" i="10"/>
  <c r="O68" i="10" s="1"/>
  <c r="R68" i="10" s="1"/>
  <c r="G57" i="13" s="1"/>
  <c r="N69" i="10"/>
  <c r="O69" i="10" s="1"/>
  <c r="R69" i="10" s="1"/>
  <c r="G58" i="13" s="1"/>
  <c r="N70" i="10"/>
  <c r="O70" i="10" s="1"/>
  <c r="R70" i="10" s="1"/>
  <c r="G59" i="13" s="1"/>
  <c r="N58" i="10"/>
  <c r="O58" i="10" s="1"/>
  <c r="R58" i="10" s="1"/>
  <c r="N59" i="10"/>
  <c r="O59" i="10" s="1"/>
  <c r="R59" i="10" s="1"/>
  <c r="G49" i="13" s="1"/>
  <c r="N37" i="10"/>
  <c r="O37" i="10" s="1"/>
  <c r="R37" i="10" s="1"/>
  <c r="G27" i="13" s="1"/>
  <c r="N31" i="10"/>
  <c r="O31" i="10" s="1"/>
  <c r="R31" i="10" s="1"/>
  <c r="N24" i="10"/>
  <c r="O24" i="10" s="1"/>
  <c r="R24" i="10" s="1"/>
  <c r="N22" i="10"/>
  <c r="O22" i="10" s="1"/>
  <c r="R22" i="10" s="1"/>
  <c r="N20" i="10"/>
  <c r="O20" i="10" s="1"/>
  <c r="R20" i="10" s="1"/>
  <c r="N18" i="10"/>
  <c r="O18" i="10" s="1"/>
  <c r="R18" i="10" s="1"/>
  <c r="N6" i="10"/>
  <c r="O6" i="10" s="1"/>
  <c r="R6" i="10" s="1"/>
  <c r="N8" i="10"/>
  <c r="O8" i="10" s="1"/>
  <c r="R8" i="10" s="1"/>
  <c r="N10" i="10"/>
  <c r="O10" i="10" s="1"/>
  <c r="R10" i="10" s="1"/>
  <c r="N12" i="10"/>
  <c r="O12" i="10" s="1"/>
  <c r="R12" i="10" s="1"/>
  <c r="G5" i="13" l="1"/>
  <c r="G6" i="12"/>
  <c r="G11" i="13"/>
  <c r="G12" i="12"/>
  <c r="G31" i="13"/>
  <c r="G24" i="12"/>
  <c r="G10" i="13"/>
  <c r="G11" i="12"/>
  <c r="G9" i="13"/>
  <c r="G10" i="12"/>
  <c r="G32" i="13"/>
  <c r="G25" i="12"/>
  <c r="G8" i="13"/>
  <c r="G9" i="12"/>
  <c r="G21" i="13"/>
  <c r="G21" i="12"/>
  <c r="G7" i="13"/>
  <c r="G8" i="12"/>
  <c r="G34" i="13"/>
  <c r="G26" i="12"/>
  <c r="G23" i="13"/>
  <c r="G22" i="12"/>
  <c r="G48" i="13"/>
  <c r="G33" i="12"/>
  <c r="G12" i="13"/>
  <c r="G13" i="12"/>
  <c r="G6" i="13"/>
  <c r="G7" i="12"/>
  <c r="G18" i="13"/>
  <c r="G17" i="12"/>
  <c r="G22" i="13"/>
  <c r="G19" i="12"/>
  <c r="N37" i="5"/>
  <c r="S35" i="5"/>
  <c r="S37" i="5" s="1"/>
  <c r="N43" i="5"/>
  <c r="S41" i="5"/>
  <c r="S43" i="5" s="1"/>
  <c r="N49" i="5"/>
  <c r="S47" i="5"/>
  <c r="S49" i="5" s="1"/>
  <c r="N55" i="5"/>
  <c r="S53" i="5"/>
  <c r="S55" i="5" s="1"/>
  <c r="N40" i="5"/>
  <c r="S38" i="5"/>
  <c r="S40" i="5" s="1"/>
  <c r="N46" i="5"/>
  <c r="S44" i="5"/>
  <c r="S46" i="5" s="1"/>
  <c r="N52" i="5"/>
  <c r="S50" i="5"/>
  <c r="S52" i="5" s="1"/>
  <c r="N6" i="5"/>
  <c r="S4" i="5"/>
  <c r="S6" i="5" s="1"/>
  <c r="N9" i="5"/>
  <c r="S7" i="5"/>
  <c r="S9" i="5" s="1"/>
  <c r="N15" i="5"/>
  <c r="S13" i="5"/>
  <c r="S15" i="5" s="1"/>
  <c r="N21" i="5"/>
  <c r="S19" i="5"/>
  <c r="S21" i="5" s="1"/>
  <c r="N27" i="5"/>
  <c r="S25" i="5"/>
  <c r="S27" i="5" s="1"/>
  <c r="N34" i="5"/>
  <c r="S32" i="5"/>
  <c r="S34" i="5" s="1"/>
  <c r="N12" i="5"/>
  <c r="S10" i="5"/>
  <c r="S12" i="5" s="1"/>
  <c r="N18" i="5"/>
  <c r="S16" i="5"/>
  <c r="S18" i="5" s="1"/>
  <c r="N24" i="5"/>
  <c r="S22" i="5"/>
  <c r="S24" i="5" s="1"/>
</calcChain>
</file>

<file path=xl/sharedStrings.xml><?xml version="1.0" encoding="utf-8"?>
<sst xmlns="http://schemas.openxmlformats.org/spreadsheetml/2006/main" count="2375" uniqueCount="656">
  <si>
    <t xml:space="preserve">- Tabela nº 2 - Registro Civil das Pessoas Jurídicas (Tabela 17 da Lei nº 6.370) </t>
  </si>
  <si>
    <t>ATOS</t>
  </si>
  <si>
    <t>TAB. 2</t>
  </si>
  <si>
    <t>SUB-TOTAL</t>
  </si>
  <si>
    <t>5% (111/06)</t>
  </si>
  <si>
    <t>ISS</t>
  </si>
  <si>
    <t>SELO</t>
  </si>
  <si>
    <t>TOTAL</t>
  </si>
  <si>
    <r>
      <t>2 -</t>
    </r>
    <r>
      <rPr>
        <b/>
        <u/>
        <sz val="11"/>
        <color indexed="10"/>
        <rFont val="Arial"/>
        <family val="2"/>
      </rPr>
      <t xml:space="preserve"> Averbações</t>
    </r>
    <r>
      <rPr>
        <sz val="11"/>
        <rFont val="Arial"/>
        <family val="2"/>
      </rPr>
      <t xml:space="preserve"> das modificações dos contratos sociais, estatutos iniciais e consolidação das associações, fundações, partidos políticos, sindicatos, igrejas ou qualquer outra entidade.</t>
    </r>
  </si>
  <si>
    <r>
      <t xml:space="preserve">3 - Acréscimo com base em </t>
    </r>
    <r>
      <rPr>
        <b/>
        <u/>
        <sz val="11"/>
        <color indexed="10"/>
        <rFont val="Arial"/>
        <family val="2"/>
      </rPr>
      <t>movimentação de capital</t>
    </r>
    <r>
      <rPr>
        <sz val="11"/>
        <rFont val="Arial"/>
        <family val="2"/>
      </rPr>
      <t xml:space="preserve"> (aumento, redução, cessão de quota, cisão, fusão e incorporação de patrimônio</t>
    </r>
  </si>
  <si>
    <t xml:space="preserve">A </t>
  </si>
  <si>
    <t>a</t>
  </si>
  <si>
    <t>B</t>
  </si>
  <si>
    <t>C</t>
  </si>
  <si>
    <t>D</t>
  </si>
  <si>
    <t>E</t>
  </si>
  <si>
    <t>F</t>
  </si>
  <si>
    <t>G</t>
  </si>
  <si>
    <t xml:space="preserve">5 - Registro e averbações de atos de filial, no mesmo município da sede. </t>
  </si>
  <si>
    <r>
      <t xml:space="preserve">6 - </t>
    </r>
    <r>
      <rPr>
        <b/>
        <sz val="11"/>
        <rFont val="Arial"/>
        <family val="2"/>
      </rPr>
      <t>Registro e averbações</t>
    </r>
    <r>
      <rPr>
        <sz val="11"/>
        <rFont val="Arial"/>
        <family val="2"/>
      </rPr>
      <t xml:space="preserve"> de atos de filial e transferência de sede. Emolumentos da serventia do local da sede para fazer o registro no local de destino.</t>
    </r>
  </si>
  <si>
    <t xml:space="preserve">7 - Registro e averbações de atos de filial e transferência de sede. Emolumentos da serventia do local de destino. </t>
  </si>
  <si>
    <t xml:space="preserve">8 - Registro nas vias físicas originais apresentadas pelo requerente, por instrumento. </t>
  </si>
  <si>
    <t>-</t>
  </si>
  <si>
    <r>
      <t xml:space="preserve">9 - </t>
    </r>
    <r>
      <rPr>
        <b/>
        <u/>
        <sz val="11"/>
        <color indexed="10"/>
        <rFont val="Arial"/>
        <family val="2"/>
      </rPr>
      <t>Certidão</t>
    </r>
    <r>
      <rPr>
        <sz val="11"/>
        <rFont val="Arial"/>
        <family val="2"/>
      </rPr>
      <t xml:space="preserve"> física de inteiro teor, por ato registrado, até 10 páginas</t>
    </r>
  </si>
  <si>
    <t xml:space="preserve">10 - Via adicional física, por ato, gerada por ocasião do registro, até 10 páginas, </t>
  </si>
  <si>
    <t xml:space="preserve">11 - Certidão digital de inteiro teor, por ato registrado. </t>
  </si>
  <si>
    <t xml:space="preserve">12 - Via adicional digital, por ato, gerada por ocasião do registro. </t>
  </si>
  <si>
    <t>13 - Certidão física específica e breve relato</t>
  </si>
  <si>
    <t>14 - Certidão digital específica e breve relato</t>
  </si>
  <si>
    <t>15 - Pesquisa por nome</t>
  </si>
  <si>
    <t xml:space="preserve">16 - Certidão descritiva sobre o estado, forma e regularidade da documentação apresentada fisicamente na serventia para digitalização e remessa para outra serventia, até 30 páginas. </t>
  </si>
  <si>
    <t xml:space="preserve">17 - Relatório ou arquivo de dados, acompanhado de certidão especificando a pesquisa realizada e o que foi fornecido, a cada 10 páginas físicas ou em formato PDF ou 50 kb de dados ou sua fração. </t>
  </si>
  <si>
    <t xml:space="preserve">18 - Certidão digital conjunta para localização simplificada e simultânea de informações em diversas serventias no estado. </t>
  </si>
  <si>
    <t>- Tabela nº 05 - Registro de Imóveis (Tabela 20 da Lei nº 6.370)</t>
  </si>
  <si>
    <t xml:space="preserve">TABELA 5.1 (Tabela 20.1 - Lei 6370) </t>
  </si>
  <si>
    <t>5-3</t>
  </si>
  <si>
    <t>DIST POR ATO</t>
  </si>
  <si>
    <t xml:space="preserve">TOTAL </t>
  </si>
  <si>
    <t>Dos Ofícios e Atos do Registro de Imóveis.</t>
  </si>
  <si>
    <t>C.Pren</t>
  </si>
  <si>
    <t xml:space="preserve">  6370/12</t>
  </si>
  <si>
    <t xml:space="preserve">  3217/99</t>
  </si>
  <si>
    <t>4664/05</t>
  </si>
  <si>
    <t>111/06</t>
  </si>
  <si>
    <t>6281/12</t>
  </si>
  <si>
    <t>EMOL</t>
  </si>
  <si>
    <t>1 - Registros em Geral</t>
  </si>
  <si>
    <t>SEM VALOR DECLARADO</t>
  </si>
  <si>
    <t>COM VALOR DECLARADO (ESCRITURA DO CARTORIO)</t>
  </si>
  <si>
    <t>De R$</t>
  </si>
  <si>
    <t>Até R$</t>
  </si>
  <si>
    <t xml:space="preserve">Acima de </t>
  </si>
  <si>
    <t>COM VALOR DECLARADO (1a. AQUISIÇÃO)</t>
  </si>
  <si>
    <t>(Proc. CGJ 2013-0092797-DORJ de 04.06.2013 - pg. 81)</t>
  </si>
  <si>
    <t>TABELA 5.2 (Tabela 20.2 - Lei 6370)</t>
  </si>
  <si>
    <t>DIST</t>
  </si>
  <si>
    <t>Registro do Mem. de Incorporação e Instit. de Condomínio</t>
  </si>
  <si>
    <t>TABELA 5.3 (Tabela 20.3 - Lei 6370)</t>
  </si>
  <si>
    <t>Averbação com Conteúdo Econômico</t>
  </si>
  <si>
    <t>Emol</t>
  </si>
  <si>
    <t>TABELA 5.4 (Tabela 20.4 - Lei 6370)</t>
  </si>
  <si>
    <t>Outros Atos de Registro de Imóveis</t>
  </si>
  <si>
    <t>1a - Averbação sem conteúdo econômico</t>
  </si>
  <si>
    <r>
      <t>1b -</t>
    </r>
    <r>
      <rPr>
        <b/>
        <sz val="11"/>
        <rFont val="Arial"/>
        <family val="2"/>
      </rPr>
      <t>Cancelamento de prenotação, cancelamento</t>
    </r>
    <r>
      <rPr>
        <sz val="11"/>
        <rFont val="Arial"/>
        <family val="2"/>
      </rPr>
      <t xml:space="preserve"> em geral, incluindo buscas</t>
    </r>
  </si>
  <si>
    <r>
      <t xml:space="preserve">1c - Averbações </t>
    </r>
    <r>
      <rPr>
        <b/>
        <sz val="11"/>
        <rFont val="Arial"/>
        <family val="2"/>
      </rPr>
      <t>sem conteúdo econômico</t>
    </r>
    <r>
      <rPr>
        <sz val="11"/>
        <rFont val="Arial"/>
        <family val="2"/>
      </rPr>
      <t>, (Se Escritura de Outro Município) + Pacto Antenupcial</t>
    </r>
  </si>
  <si>
    <t>2 - Averbação  de Desmembramento e Remembramento de imóveis</t>
  </si>
  <si>
    <t>3 - Certidão de Prenotação</t>
  </si>
  <si>
    <t>4 - Intimação do promissário-comprador de loteamento</t>
  </si>
  <si>
    <t>5 - Registro da Convenção de Condomínio</t>
  </si>
  <si>
    <t>a) Pela primeira unidade</t>
  </si>
  <si>
    <t>b) por unidade que acrescer</t>
  </si>
  <si>
    <t>c) por remissão nas matrículas</t>
  </si>
  <si>
    <t>6 -  Certidão de Inteiro teor com ônus e Vintenária - até 20 folhas, sem contar folha de rosto</t>
  </si>
  <si>
    <t>7 - Recebimento de prestação do art. 38 da lei 6.766/79</t>
  </si>
  <si>
    <t>a) pelo primeiro recebimento e abertura de conta</t>
  </si>
  <si>
    <t>b) pelo recebimento de cada prestação seguinte</t>
  </si>
  <si>
    <t>8 - Alienação Fiduciária de Imóvel:</t>
  </si>
  <si>
    <t>v tab. 5-3</t>
  </si>
  <si>
    <t>9 - Processamento de retificação, incluídas diligências</t>
  </si>
  <si>
    <t>a) na hipótese do artigo 213,II, da LRP</t>
  </si>
  <si>
    <t>a.1) averbação, incluídos todos os procedimentos</t>
  </si>
  <si>
    <t>a.2) notificação pessoal de confrontante (§2º do art. 213, II da LRP</t>
  </si>
  <si>
    <t>b) Nas hipóteses do artigo 213, I, b,c,d,e, f, g da LRP</t>
  </si>
  <si>
    <t>c) Nas demais hipóteses  de retificação</t>
  </si>
  <si>
    <t>10 - Intimações,notificação e comunicações em geral, por pessoa, fora das hipóteses acima</t>
  </si>
  <si>
    <t>a) por página excedente a terceira</t>
  </si>
  <si>
    <t>b) por correio eletrônico ou similar sem limitação de pagina</t>
  </si>
  <si>
    <t>11 - Apresentação de título para exame de legalidade ou cálculo de emolumentos sem prenotação</t>
  </si>
  <si>
    <t>12 - Reconhecimento Extrajudicial de usucapião:</t>
  </si>
  <si>
    <t>a) Pelo Procedimento</t>
  </si>
  <si>
    <t>b) Por Notificação/Intimação</t>
  </si>
  <si>
    <t>c) Pela Confecção do Edital</t>
  </si>
  <si>
    <t>d) Pelo Registro</t>
  </si>
  <si>
    <t>v tab. 5-1</t>
  </si>
  <si>
    <t>13 - Publicidade eletrônica</t>
  </si>
  <si>
    <t>a) busca pessoa, por CPF ou CNPJ</t>
  </si>
  <si>
    <t>c) informação eletrônica de transação imobiliária, por transação</t>
  </si>
  <si>
    <t>d) busca simplificada, por CPF ou CNPJ</t>
  </si>
  <si>
    <t>e) busca de matrícula, por endereço</t>
  </si>
  <si>
    <t>EMOL =</t>
  </si>
  <si>
    <t>+ Buscas por Imovel + BIB + Distrib (se houver)</t>
  </si>
  <si>
    <t>1-2</t>
  </si>
  <si>
    <t>OBSERVAÇÔES IMPORTANTES</t>
  </si>
  <si>
    <t xml:space="preserve">Obs. 6 - Atos de Averbação com CONTEÚDO ECONÔMICO - Vide AVISO CGJ nº 384/2013, publicado no DORJ de 20/03/2013, entre eles: Construção, Consolidação da Propriedade, Renúncia de Usufruto, </t>
  </si>
  <si>
    <t>Obs. 7 - Valor do BIB --------------------</t>
  </si>
  <si>
    <t>1 - Escritura com valor declarado</t>
  </si>
  <si>
    <t>BIB</t>
  </si>
  <si>
    <t>6370/12</t>
  </si>
  <si>
    <t>3217/99</t>
  </si>
  <si>
    <t xml:space="preserve"> 4664/05</t>
  </si>
  <si>
    <t xml:space="preserve"> - -</t>
  </si>
  <si>
    <t>Valor Máximo Total dos Emolumentos na escritura NÃO PODE ultrapassar valor da Taxa Judiciária Máxima, de:</t>
  </si>
  <si>
    <t>Por unidade excedente</t>
  </si>
  <si>
    <t>1.2 - ESCRITURA SEM VALOR DECLARADO</t>
  </si>
  <si>
    <r>
      <t xml:space="preserve">a) Reconhecimento de Paternidade, Fins Previdenciários, </t>
    </r>
    <r>
      <rPr>
        <b/>
        <sz val="10"/>
        <rFont val="Arial"/>
        <family val="2"/>
      </rPr>
      <t>União Estável (regime comum)</t>
    </r>
    <r>
      <rPr>
        <sz val="10"/>
        <rFont val="Arial"/>
        <family val="2"/>
      </rPr>
      <t>, Declaratória e Rerratificação</t>
    </r>
  </si>
  <si>
    <t>b) Separação Consensual, Conversão em Divórcio Direto (Lei 11.441/07), dissolução de união estável e inventário negativo</t>
  </si>
  <si>
    <r>
      <t xml:space="preserve">a) Renúncia de Usufruto - </t>
    </r>
    <r>
      <rPr>
        <b/>
        <sz val="10"/>
        <color indexed="10"/>
        <rFont val="Arial"/>
        <family val="2"/>
      </rPr>
      <t>Ver item nº 1</t>
    </r>
  </si>
  <si>
    <t>1.4 - Escritura de Convenção de Condomínio</t>
  </si>
  <si>
    <t>Se houver mais de 3 unidades, por unidade que exceder</t>
  </si>
  <si>
    <t>2 - Procuração, revogação ou substabelecimento</t>
  </si>
  <si>
    <t>a) para fins exclusivamente previdenciários</t>
  </si>
  <si>
    <t>b) sobre bens móveis ou imóveis e valores em geral</t>
  </si>
  <si>
    <t>c) em causa própria (igual item 1)</t>
  </si>
  <si>
    <t>d) outras hipóteses</t>
  </si>
  <si>
    <t>2.1 - Por outorgante excedente a 3</t>
  </si>
  <si>
    <t>3 - Reconhecimento de firma</t>
  </si>
  <si>
    <t>a) Por autenticidade</t>
  </si>
  <si>
    <t>b) Por semelhança ou chancela</t>
  </si>
  <si>
    <t>c) Abertura de Firma</t>
  </si>
  <si>
    <t>4 - Autenticação por documento ou página</t>
  </si>
  <si>
    <t>5 -Testamento</t>
  </si>
  <si>
    <t>I - Cerrado</t>
  </si>
  <si>
    <t>a) aprovação</t>
  </si>
  <si>
    <t>b) se escrito por tabelião a rogo do testador</t>
  </si>
  <si>
    <t>II - Público</t>
  </si>
  <si>
    <t xml:space="preserve"> (igual item 1)</t>
  </si>
  <si>
    <t>a) Apenas para dispor de montepio ou peculio</t>
  </si>
  <si>
    <t>b) Apenas para revogação</t>
  </si>
  <si>
    <t>6 - Ata notarial sem conteúdo econômico (pela 1a. folha)</t>
  </si>
  <si>
    <t>a) por página excedente</t>
  </si>
  <si>
    <t>7) Ata Notarial c/Conteudo Econômico (= item 1 acima)</t>
  </si>
  <si>
    <t>8) Homologação de Penhor Legal</t>
  </si>
  <si>
    <t>a) Pelo Processamento</t>
  </si>
  <si>
    <t>b) Por notificação/Intimação</t>
  </si>
  <si>
    <t>c) Pela Confecção de Edital</t>
  </si>
  <si>
    <t>d) Pela Escritura de Formalização do Penhor Legal</t>
  </si>
  <si>
    <t>9) Materialização de Doc. Eletrônico - Por Página</t>
  </si>
  <si>
    <t>10) Desmaterialização (CENAD) de documento, por página</t>
  </si>
  <si>
    <t>14 - Escritura de Autocuratela</t>
  </si>
  <si>
    <t>a) Sem conteúdo econômico</t>
  </si>
  <si>
    <t>b) Com conteúdo econômico (igual item 1 acima)</t>
  </si>
  <si>
    <t>15 - Extrato de Inventário (por folha)</t>
  </si>
  <si>
    <t xml:space="preserve">CERTIDÂO </t>
  </si>
  <si>
    <t>Certidão, primeira folha (30 linhas)</t>
  </si>
  <si>
    <t>Certidão Complemento - Folha excedente</t>
  </si>
  <si>
    <t>OBSERVAÇÕES IMPORTANTES SOBRE APLICAÇÃO DA LEI 11.441/07</t>
  </si>
  <si>
    <t>Tabela 7 - Tabelionato de Notas (Tabela 22 -Lei nº 6.370)</t>
  </si>
  <si>
    <t>I S S</t>
  </si>
  <si>
    <t>Nº de Atos Extras</t>
  </si>
  <si>
    <t>EXC</t>
  </si>
  <si>
    <t>1º Ato</t>
  </si>
  <si>
    <t>Ato Extra</t>
  </si>
  <si>
    <t>1º Ato Com valor</t>
  </si>
  <si>
    <t>Ato Extra Sem valor</t>
  </si>
  <si>
    <t>- Tabela nº 10 - Registro de Títulos e Documentos (ou Tab. 25 da Lei nº 3.350/99)</t>
  </si>
  <si>
    <t>2%             (6370/12)</t>
  </si>
  <si>
    <t>A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</si>
  <si>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</si>
  <si>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</si>
  <si>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</si>
  <si>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</si>
  <si>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</si>
  <si>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</si>
  <si>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</si>
  <si>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</si>
  <si>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</si>
  <si>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</si>
  <si>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</si>
  <si>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</si>
  <si>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</si>
  <si>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</si>
  <si>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</si>
  <si>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</si>
  <si>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</si>
  <si>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</si>
  <si>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3 - Registro de Declarações Unilaterais de Vontade, declaração de posse, de cremação, modelos de contrato, Regimentos Escolares,CTPS e demais documentos de relaçao de emprego, documentos comprobatórios do recolhimento de tributos e contribuições, inclusive FGTS</t>
  </si>
  <si>
    <t>4 - Registro do DUT ou sucedâneos</t>
  </si>
  <si>
    <t>7 - Nos itens 5 e 6, incidirá a Diligência Pessoal do destinatário por cada endereço informado, até o máximo de três visitas.</t>
  </si>
  <si>
    <t>8 - Registro de Mídia de documentos digitalizados até 5 GB, para efeito de conservação e prova dos originais (LRP arts 127, VII c/c 142 e 161 + art 41 da Lei 8.935/94)</t>
  </si>
  <si>
    <t>9 - Autenticação de microfilme e disco ótico, em CD, DVD e análogos</t>
  </si>
  <si>
    <t>9.1 -  Autenticação de cópia extraída de microfilme, dico ótico ou semelhante, por página</t>
  </si>
  <si>
    <t>10 - Remessa certificada de arquivos eletrônicos sob forma eletrônica, através de Sistema gerido pelo IRTDPJ-RJ, incluídas a busca e certidão correspondentes</t>
  </si>
  <si>
    <t>11 - Simples custódia temporária de documentos digitalizados para fins de eventual registro ou certificação, por página</t>
  </si>
  <si>
    <t>12 - Recepção e Arquivamento de Relação de destinatários para o envio de Avisos de cobrança, e demais atos de participação ou ciência padronizados.</t>
  </si>
  <si>
    <t>12.1 - Registro de Modelo Padronizado</t>
  </si>
  <si>
    <t>12.2 - Arquivamento de relação - aplicar faixas por páginas conforme item 18,  por destinatário</t>
  </si>
  <si>
    <t>13 - Recepção, Arquivamento e Envio de Convites, Avisos, Denúncias e demais atos de comunicação de declaração de vontade ou de ciência, incluída a certidão de encaminhamento e resultado, mediante a utilização de canais digitais (SMS, WhatsApp, etc.) - por destinatário do envio.</t>
  </si>
  <si>
    <t>14 - Registro de documentos recepcionados por meio eletrônico (digitalizados ou nato-digitais), para fins de conservação e perpetuidade (Art. 127, VII, da Lei nº 6.015, de 31/12/73), excluindo-se os atos descritos nos itens 1 e 2, por página.</t>
  </si>
  <si>
    <t>15 - Digitalização de documentos para exclusivos fins de arquivo, por página</t>
  </si>
  <si>
    <t>18 - Nos itens 1, 2, 3, 5, 6, 12 e 16 deverão ser acrescidas as páginas, conforme a tabela progressiva a seguir, por documento.</t>
  </si>
  <si>
    <t>a - de 01 a 10 páginas</t>
  </si>
  <si>
    <t>b - de 11 a 20 páginas</t>
  </si>
  <si>
    <t>c - de 21 a 30 páginas</t>
  </si>
  <si>
    <t>d - de 31 a 40 páginas</t>
  </si>
  <si>
    <t>e - de 41 a 50 páginas</t>
  </si>
  <si>
    <t>f - de 51 a 100 páginas</t>
  </si>
  <si>
    <t>g - de 101 a 150 páginas</t>
  </si>
  <si>
    <t>h - de 151 a 200 páginas</t>
  </si>
  <si>
    <t>i - de 201 a 250 páginas</t>
  </si>
  <si>
    <t>j - de 251 a 300 páginas</t>
  </si>
  <si>
    <t>k - de 301 a 350 páginas</t>
  </si>
  <si>
    <t>l - de 351 a 400 páginas</t>
  </si>
  <si>
    <t>m - acima de 400 páginas</t>
  </si>
  <si>
    <r>
      <t>Obs. 2 - O Valor dos emolumentos das averbações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corresponderá À METADE (50%) do valor previsto para o registro objetivado.</t>
    </r>
  </si>
  <si>
    <r>
      <rPr>
        <b/>
        <sz val="10"/>
        <rFont val="Arial"/>
        <family val="2"/>
      </rPr>
      <t>Obs. 3</t>
    </r>
    <r>
      <rPr>
        <sz val="10"/>
        <rFont val="Arial"/>
        <family val="2"/>
      </rPr>
      <t xml:space="preserve"> - A tabela acima e os valores nela previstos são aplicáveis aos títulos de procedência estrangeira</t>
    </r>
  </si>
  <si>
    <t>TABELA 9 - PROTESTO DE TÍTULOS</t>
  </si>
  <si>
    <t>FAIXAS</t>
  </si>
  <si>
    <t>Tabela</t>
  </si>
  <si>
    <t>20%                (3217/99)</t>
  </si>
  <si>
    <t>5%    (4664/05)</t>
  </si>
  <si>
    <t>Selo</t>
  </si>
  <si>
    <t>9-1</t>
  </si>
  <si>
    <t>9-2</t>
  </si>
  <si>
    <t>Z</t>
  </si>
  <si>
    <t>ATO</t>
  </si>
  <si>
    <t>5%     (4664/05)</t>
  </si>
  <si>
    <t>Certidão Serasa (Capa)</t>
  </si>
  <si>
    <t>9-3.1</t>
  </si>
  <si>
    <t>Por Nome Serasa</t>
  </si>
  <si>
    <t>9-3.2</t>
  </si>
  <si>
    <t>**</t>
  </si>
  <si>
    <t>Desistência</t>
  </si>
  <si>
    <t>varia</t>
  </si>
  <si>
    <t>Revalidação</t>
  </si>
  <si>
    <t>Informação resumida</t>
  </si>
  <si>
    <t>9-4</t>
  </si>
  <si>
    <t>Certidão 5 anos</t>
  </si>
  <si>
    <t>Tb 4-10;Tb,1-1</t>
  </si>
  <si>
    <t>Certidão 10 anos</t>
  </si>
  <si>
    <t>Tab. 1 - 1</t>
  </si>
  <si>
    <t>Folha excedente</t>
  </si>
  <si>
    <t>Cópia de doc. Microfilmado ou
gravado eletronicamente por página</t>
  </si>
  <si>
    <t>9-5</t>
  </si>
  <si>
    <t>9-7</t>
  </si>
  <si>
    <t>9-6</t>
  </si>
  <si>
    <t>0,05% do valor do título</t>
  </si>
  <si>
    <t>Quitação (pagos)</t>
  </si>
  <si>
    <t>item 1</t>
  </si>
  <si>
    <t>12) DAV - Diretiva Antecipada de Vontade</t>
  </si>
  <si>
    <t>a) Testamento vital</t>
  </si>
  <si>
    <t>b) Com nomeação de procurador para cuidados de saúde</t>
  </si>
  <si>
    <t>1 - Registro de Título, documento ou papel</t>
  </si>
  <si>
    <t>Com valor declarado</t>
  </si>
  <si>
    <t>A partir de</t>
  </si>
  <si>
    <t>Acima de</t>
  </si>
  <si>
    <t>Certidão Inteiro teor 5 anos</t>
  </si>
  <si>
    <t xml:space="preserve">Certidão  Inteiro teor 10 anos </t>
  </si>
  <si>
    <t>Certidão Específica 5 anos</t>
  </si>
  <si>
    <t>Certidão Específica 10 anos</t>
  </si>
  <si>
    <t>Certidão Ato de Cancelamento</t>
  </si>
  <si>
    <r>
      <t xml:space="preserve">1 - </t>
    </r>
    <r>
      <rPr>
        <u/>
        <sz val="11"/>
        <color rgb="FFFF0000"/>
        <rFont val="Arial"/>
        <family val="2"/>
      </rPr>
      <t>Registro</t>
    </r>
    <r>
      <rPr>
        <sz val="11"/>
        <color rgb="FFFF0000"/>
        <rFont val="Arial"/>
        <family val="2"/>
      </rPr>
      <t>/</t>
    </r>
    <r>
      <rPr>
        <b/>
        <u/>
        <sz val="11"/>
        <color rgb="FFFF0000"/>
        <rFont val="Arial"/>
        <family val="2"/>
      </rPr>
      <t>Arquivamento</t>
    </r>
    <r>
      <rPr>
        <b/>
        <u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de sociedade , atas, procurações, escrituras, decisões judiciais, ofícios, oficinas impressoras, jornais e periódicos</t>
    </r>
  </si>
  <si>
    <t>a.3) expedição de edital -  hipótese do § 3º in fine do art. 213  LRP</t>
  </si>
  <si>
    <t>VALOR A DEDUZIR NA DEVOLUÇAO DE CUSTAS</t>
  </si>
  <si>
    <t>Atos Comuns</t>
  </si>
  <si>
    <t>Custas</t>
  </si>
  <si>
    <r>
      <t xml:space="preserve">3- </t>
    </r>
    <r>
      <rPr>
        <b/>
        <sz val="11"/>
        <rFont val="Arial"/>
        <family val="2"/>
      </rPr>
      <t>Notificação</t>
    </r>
    <r>
      <rPr>
        <sz val="11"/>
        <rFont val="Arial"/>
        <family val="2"/>
      </rPr>
      <t xml:space="preserve"> ou </t>
    </r>
    <r>
      <rPr>
        <b/>
        <sz val="11"/>
        <rFont val="Arial"/>
        <family val="2"/>
      </rPr>
      <t>Intimação</t>
    </r>
    <r>
      <rPr>
        <sz val="11"/>
        <rFont val="Arial"/>
        <family val="2"/>
      </rPr>
      <t>, por pessoa</t>
    </r>
  </si>
  <si>
    <t>4 - Apostilamento por documento</t>
  </si>
  <si>
    <t>5 - Conciliação ou Mediação</t>
  </si>
  <si>
    <t>a) pelo processamento</t>
  </si>
  <si>
    <t>b) pelo termo final</t>
  </si>
  <si>
    <t>c) pelo registro</t>
  </si>
  <si>
    <t>d) por hora de sessão ou fração</t>
  </si>
  <si>
    <t>6 - Arbitragem</t>
  </si>
  <si>
    <t>b) pelo registro</t>
  </si>
  <si>
    <t>c) por arbitragem, com base no valor da causa indicado na inicial</t>
  </si>
  <si>
    <t>d) pela expedição de carta arbitral, se necessária</t>
  </si>
  <si>
    <t>TABELA 02 (Tabela 17 da Lei 6.370/2012 - Redação da lei 9873/22)</t>
  </si>
  <si>
    <t>Do Registro Civil das Pessoas Jurídicas</t>
  </si>
  <si>
    <t>2 - Averbações das modificações dos contratos sociais das sociedades de natureza simples, por instrumento, com objeto de comércio, serviço, indústria, atividade intelectual, técnica e semelhantes, que adote o tipo limitada, em nome coletivo, em conta de participação, em comandita simples, simples pura, pessoas jurídicas unipessoais, cooperativas, estatutos iniciais e consolidação das associações, fundações, partidos políticos, sindicatos, igrejas ou qualquer outra entidade.</t>
  </si>
  <si>
    <t>4 - Registro de livros físicos e em PDF a cada 200 páginas ou fração e digital a cada 1.024 Kb ou fração.</t>
  </si>
  <si>
    <t>5 - Registro e averbações de atos de filial, no mesmo município da sede.</t>
  </si>
  <si>
    <t>6 - Registro e averbações de atos de filial e transferência de sede. Emolumentos da serventia do local da sede para fazer o registro no local de destino.</t>
  </si>
  <si>
    <t>8 - Registro nas vias físicas originais apresentadas pelo requerente, por instrumento</t>
  </si>
  <si>
    <t>11 - Certidão digital de inteiro teor, por ato registrado.</t>
  </si>
  <si>
    <t>12 - Via adicional digital, por ato, gerada por ocasião do registro</t>
  </si>
  <si>
    <r>
      <t xml:space="preserve">13 - Certidão </t>
    </r>
    <r>
      <rPr>
        <b/>
        <sz val="11"/>
        <rFont val="Arial"/>
        <family val="2"/>
      </rPr>
      <t>física</t>
    </r>
    <r>
      <rPr>
        <sz val="11"/>
        <rFont val="Arial"/>
        <family val="2"/>
      </rPr>
      <t xml:space="preserve"> específica e breve relato.</t>
    </r>
  </si>
  <si>
    <r>
      <t xml:space="preserve">14 - Certidão </t>
    </r>
    <r>
      <rPr>
        <b/>
        <sz val="11"/>
        <rFont val="Arial"/>
        <family val="2"/>
      </rPr>
      <t>digital</t>
    </r>
    <r>
      <rPr>
        <sz val="11"/>
        <rFont val="Arial"/>
        <family val="2"/>
      </rPr>
      <t xml:space="preserve"> específica e breve relato.</t>
    </r>
  </si>
  <si>
    <t>15 - Pesquisa de nome, por nome.</t>
  </si>
  <si>
    <t>17 - Relatório ou arquivo de dados, acompanhado de certidão especificando a pesquisa realizada e o que foi fornecido, a cada 10 páginas físicas ou em formato PDF ou 50 kb de dados ou sua fração.</t>
  </si>
  <si>
    <t>18 - Certidão digital conjunta para localização simplificada e simultânea de informações em diversas serventias no estado.</t>
  </si>
  <si>
    <t>TABELA 5.1 (Tabela 20.1 - Lei 6.370/2012 - Redação da lei 9873/22)</t>
  </si>
  <si>
    <t>COM VALOR DECLARADO</t>
  </si>
  <si>
    <t>TABELA 5.2 (Tabela 20.2 da Lei 6.370/2012 - Redação da lei 9873/22)</t>
  </si>
  <si>
    <t>Registro do Memorial de Incorporação e Instituição de Condomínio</t>
  </si>
  <si>
    <r>
      <t xml:space="preserve">Obs. 2 - Valor máximo dos emolumentos não poderá ultrapassar </t>
    </r>
    <r>
      <rPr>
        <b/>
        <sz val="10"/>
        <rFont val="Arial"/>
        <family val="2"/>
      </rPr>
      <t>4x o valor</t>
    </r>
    <r>
      <rPr>
        <sz val="10"/>
        <rFont val="Arial"/>
        <family val="2"/>
      </rPr>
      <t xml:space="preserve"> da Taxa Judiciária Máxima</t>
    </r>
  </si>
  <si>
    <t>TABELA 5.3 (Tabela 20.3 da Lei 6.370/2012 - Redação da lei 9873/22)</t>
  </si>
  <si>
    <t>NI-2 - O valor máximo dos emolumentos não pode ultrapassar a Metade do valor da Taxa Judiciária Máxima</t>
  </si>
  <si>
    <t>TABELA 5.4 (Tabela 20.4 da Lei 6.370/2012 - Redação da lei 9873/22)</t>
  </si>
  <si>
    <r>
      <t xml:space="preserve">1 - </t>
    </r>
    <r>
      <rPr>
        <b/>
        <sz val="11"/>
        <rFont val="Arial"/>
        <family val="2"/>
      </rPr>
      <t>Averbações sem conteúdo econômico</t>
    </r>
    <r>
      <rPr>
        <sz val="11"/>
        <rFont val="Arial"/>
        <family val="2"/>
      </rPr>
      <t>, cancelamento de prenotação, cancelamento em geral, incluindo buscas</t>
    </r>
  </si>
  <si>
    <t>6 -  Certidão de ônus e Vintenária - até 20 páginas, inclusive buscas</t>
  </si>
  <si>
    <r>
      <t xml:space="preserve">     Pelo procedimento de intimação de mora de devedor na execução extrajudicial da Alienação Fiduciária de bem imóvel. Inclui todos os atos do registro de imóveis anteriores à consolidação de propriedade em nome do credor. </t>
    </r>
    <r>
      <rPr>
        <b/>
        <sz val="11"/>
        <rFont val="Arial"/>
        <family val="2"/>
      </rPr>
      <t>Não inclui averbação de consolidação</t>
    </r>
    <r>
      <rPr>
        <sz val="11"/>
        <rFont val="Arial"/>
        <family val="2"/>
      </rPr>
      <t xml:space="preserve"> do bem em nome do credor fiduciário, </t>
    </r>
    <r>
      <rPr>
        <b/>
        <sz val="11"/>
        <rFont val="Arial"/>
        <family val="2"/>
      </rPr>
      <t xml:space="preserve">bem como eventuais averbações </t>
    </r>
    <r>
      <rPr>
        <sz val="11"/>
        <rFont val="Arial"/>
        <family val="2"/>
      </rPr>
      <t>posteriores.</t>
    </r>
  </si>
  <si>
    <t>Ver Tabela 20.3 ou 5.3</t>
  </si>
  <si>
    <t>9 - Processamento de retificação, incluídas as diligências</t>
  </si>
  <si>
    <t>a.3) expedição de edital -  hipótese do § 3º in fine do art. 213, II da LRP</t>
  </si>
  <si>
    <t>a) por página execedente a terceira</t>
  </si>
  <si>
    <t xml:space="preserve">12-Reconhecimento Extrajudicial de Usucapião  </t>
  </si>
  <si>
    <t>b) Por notificação/intimação</t>
  </si>
  <si>
    <t>c) Pela confecção do Edital</t>
  </si>
  <si>
    <t>d) Pelo Registro  (Aplicar Emolumentos Previstos na Tabela 5.1  ou 20.1)</t>
  </si>
  <si>
    <t>13 - Publicidade eletrônica:</t>
  </si>
  <si>
    <t>a) busca pessoal, por CPF ou CNPJ</t>
  </si>
  <si>
    <t>ver Tab. 16.2</t>
  </si>
  <si>
    <t>b) visualização da matrícula, por matrícula</t>
  </si>
  <si>
    <t>c) informação eletrônica sobre transação do mercado imobiliário, por transação</t>
  </si>
  <si>
    <t>Gratuito</t>
  </si>
  <si>
    <t>TABELA 07 (Tabela 22 da Lei 6.370/2012 - Redação da lei 9873/22)</t>
  </si>
  <si>
    <t>Dos Ofícios e Atos de Notas</t>
  </si>
  <si>
    <t>Por unidade Excedente</t>
  </si>
  <si>
    <t>a) Reconhecimento de Paternidade, Fins Previdenciário, Declaratória e Rerratificação</t>
  </si>
  <si>
    <t>c) União estável pelo regime comum</t>
  </si>
  <si>
    <t>d) união estável com regime diverso do comum ou contendo outras cláusulas acessórias (independentemente do regime); contrato de namoro</t>
  </si>
  <si>
    <t>a) Renuncia de Usufruto</t>
  </si>
  <si>
    <t>Ver item 1</t>
  </si>
  <si>
    <r>
      <t>c) em causa própria (</t>
    </r>
    <r>
      <rPr>
        <b/>
        <sz val="11"/>
        <color indexed="10"/>
        <rFont val="Arial"/>
        <family val="2"/>
      </rPr>
      <t>igual item 1</t>
    </r>
    <r>
      <rPr>
        <sz val="11"/>
        <rFont val="Arial"/>
        <family val="2"/>
      </rPr>
      <t>)</t>
    </r>
  </si>
  <si>
    <t>a) por página excedente ou QR Code</t>
  </si>
  <si>
    <r>
      <rPr>
        <b/>
        <sz val="11"/>
        <rFont val="Arial"/>
        <family val="2"/>
      </rPr>
      <t>7 - Ata Notarial com Conteudo Econõmico</t>
    </r>
    <r>
      <rPr>
        <sz val="11"/>
        <rFont val="Arial"/>
        <family val="2"/>
      </rPr>
      <t/>
    </r>
  </si>
  <si>
    <t>8 - Homologação de Penhor Legal</t>
  </si>
  <si>
    <t>9) Materialização de Documento Eletrônico - Por página</t>
  </si>
  <si>
    <t>10 - Desmaterialização (CENAD) de documento, por página</t>
  </si>
  <si>
    <t>11 - Reconhecimento para fins de AEV - Autorização Eletrônica de Viagem</t>
  </si>
  <si>
    <t>12 - DAV - Diretiva Antecipada de Vontade</t>
  </si>
  <si>
    <t>b) Com conteúdo econômico</t>
  </si>
  <si>
    <t>TABELA 09 ( Tabela 24 - Lei 6.370/2012 - Redação da lei 9873/22)</t>
  </si>
  <si>
    <t>Dos Tabelionatos de Protestos de Títulos</t>
  </si>
  <si>
    <t xml:space="preserve">                  ATOS                                                        </t>
  </si>
  <si>
    <r>
      <t xml:space="preserve">1 - </t>
    </r>
    <r>
      <rPr>
        <b/>
        <sz val="11"/>
        <rFont val="Arial"/>
        <family val="2"/>
      </rPr>
      <t>Protocolização</t>
    </r>
    <r>
      <rPr>
        <sz val="11"/>
        <rFont val="Arial"/>
        <family val="2"/>
      </rPr>
      <t>, protesto de títulos ou de qualquer outro documento de dívida, e lavratura do respectivo instrumento, sobre o valor declarado:</t>
    </r>
  </si>
  <si>
    <t>FAIXA</t>
  </si>
  <si>
    <t>DE</t>
  </si>
  <si>
    <t>ATÈ</t>
  </si>
  <si>
    <t>2 - Cancelamento do protesto ou averbação da sustação definitiva</t>
  </si>
  <si>
    <t>50% item 1</t>
  </si>
  <si>
    <t>3 - Certidão sob a forma de relação para as entidades de crédito</t>
  </si>
  <si>
    <t>3.1 - Pela certidão fornecida a cada entidade, independente do número de páginas</t>
  </si>
  <si>
    <t>3.2 - A cada nome e documento do protesto ou do cancelamento ou suspensão</t>
  </si>
  <si>
    <t>4 - Informação resumida de existência ou não de protesto, data de lavratura e valor do título, prestado sob qualquer forma ou meio, quando o interessado pessoa física dispensar a certidão, referente a cada período de 5 (cinco) anos, por pessoa ou documento:</t>
  </si>
  <si>
    <t>5 - Cópia de documento microfilmado ou gravado eletronicamente na serventia, autenticada pelo próprio tabelionato de protesto, art. 39 da Lei nº 9.492, de 10 de setembro de 1997, por página:</t>
  </si>
  <si>
    <t>6 - Guarda digital facultativa de títulos ou documentos de dívida suscetíveis a protesto, sem publicidade, a cargo do tabelionato de protesto territorialmente competente, inclusive antes do vencimento do prazo estipulado para seu adimplemento, atendidas as preliminares legais ou próprias à guarda e custódia de documentos, cobrada uma única vez, além das despesas reembolsáveis autorizadas, independentemente do valor devido pela certidão expedida por solicitação do credor:</t>
  </si>
  <si>
    <t>0,05% do valor do documento</t>
  </si>
  <si>
    <t>7 - Monitoramento quanto à protocolização de títulos e documentos de dívida para protesto, por cada interessado na qualidade de devedor e por cada dia:</t>
  </si>
  <si>
    <t>50% da certidão da tab.16-item 1</t>
  </si>
  <si>
    <t>8 - Encaminhamento de títulos ou documentos de dívida, ou indicações, ao tabelionato de protesto territorialmente competente, fisicamente ou de forma remota atraves central nacional de serviços eletrônicos compartilhados, art. 41-A da Lei nº 9.492/1997, ou de sua seccional estadual, com a recomendação do credor ou do apresentante para a solução negocial prévia à protocolização para protesto, a partir, exclusivamente, de comunicação ao devedor mediante correspondência simples, correio eletrônico, aplicativo de mensagem instantânea ou meios similares:</t>
  </si>
  <si>
    <t>Igual item 1, após negociação</t>
  </si>
  <si>
    <t>9 - Pelas medidas de incentivo à quitação ou à renegociação de dívidas protestadas e ainda não canceladas nos tabelionatos de protesto territorialmente competentes, mediante requerimento do credor ou do devedor, pessoalmente no tabelionato onde foi lavrado o protesto; por meio eletrônico; ou por intermédio da central nacional de serviços eletrônicos compartilhados, prevista no art. 41-A da Lei nº 9.492, de 10 de setembro de 1997, ou de sua seccional estadual:</t>
  </si>
  <si>
    <t>1/3 do item 1</t>
  </si>
  <si>
    <t>ver item 2</t>
  </si>
  <si>
    <t>TABELA 10 (Tabela 25 da Lei 6.370/2012 - Redação da lei 9873/22)</t>
  </si>
  <si>
    <t>Do Registro de Títulos e Documentos</t>
  </si>
  <si>
    <t>1 - Registro de Título, Documento ou Papel</t>
  </si>
  <si>
    <r>
      <t xml:space="preserve">I - </t>
    </r>
    <r>
      <rPr>
        <b/>
        <sz val="11"/>
        <rFont val="Arial"/>
        <family val="2"/>
      </rPr>
      <t>COM VALOR DECLARADO</t>
    </r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</si>
  <si>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</si>
  <si>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</si>
  <si>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</si>
  <si>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</si>
  <si>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</si>
  <si>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</si>
  <si>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</si>
  <si>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</si>
  <si>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</si>
  <si>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</si>
  <si>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</si>
  <si>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</si>
  <si>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</si>
  <si>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</si>
  <si>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</si>
  <si>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</si>
  <si>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</si>
  <si>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</si>
  <si>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</si>
  <si>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</si>
  <si>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u)</t>
  </si>
  <si>
    <t>v)</t>
  </si>
  <si>
    <t>w)</t>
  </si>
  <si>
    <t>x)</t>
  </si>
  <si>
    <t>y)</t>
  </si>
  <si>
    <t>EM DIANTE</t>
  </si>
  <si>
    <t>Páginas excedentes</t>
  </si>
  <si>
    <t>ver item 18</t>
  </si>
  <si>
    <r>
      <t xml:space="preserve">2 - Registro de Título, Documento ou Papel SEM VALOR DECLARADO, inclusive </t>
    </r>
    <r>
      <rPr>
        <b/>
        <sz val="11"/>
        <rFont val="Arial"/>
        <family val="2"/>
      </rPr>
      <t>Atas.</t>
    </r>
  </si>
  <si>
    <t>4 - Registro do DUT, sucedâneos e comunicações ao DETRAN.</t>
  </si>
  <si>
    <r>
      <t xml:space="preserve">5 - Registro de </t>
    </r>
    <r>
      <rPr>
        <b/>
        <sz val="11"/>
        <rFont val="Arial"/>
        <family val="2"/>
      </rPr>
      <t>Notificação, Interpelação, Intimação,</t>
    </r>
    <r>
      <rPr>
        <sz val="11"/>
        <rFont val="Arial"/>
        <family val="2"/>
      </rPr>
      <t xml:space="preserve"> Aviso, Denúncia e demais Atos de Comunicação de declarações de vontade ou de ciência, incluindo o registro e a certidão.</t>
    </r>
  </si>
  <si>
    <r>
      <t xml:space="preserve">6 - Registro de </t>
    </r>
    <r>
      <rPr>
        <b/>
        <sz val="11"/>
        <rFont val="Arial"/>
        <family val="2"/>
      </rPr>
      <t>Notificação, incluída a certidão da diligência e anotação à margem do registro</t>
    </r>
    <r>
      <rPr>
        <sz val="11"/>
        <rFont val="Arial"/>
        <family val="2"/>
      </rPr>
      <t xml:space="preserve"> prévio de instrumento de crédito, nas hipóteses de alienação fiduciária, arrendamento mercantil (leasing), compra e venda com reserva de domínio e penhor mercantil de bens móveis</t>
    </r>
  </si>
  <si>
    <r>
      <t xml:space="preserve">7 - Nos </t>
    </r>
    <r>
      <rPr>
        <b/>
        <sz val="11"/>
        <rFont val="Arial"/>
        <family val="2"/>
      </rPr>
      <t>itens 5 e 6, incidirá a Diligência Pessoal</t>
    </r>
    <r>
      <rPr>
        <sz val="11"/>
        <rFont val="Arial"/>
        <family val="2"/>
      </rPr>
      <t xml:space="preserve"> do destinatário </t>
    </r>
    <r>
      <rPr>
        <b/>
        <sz val="11"/>
        <rFont val="Arial"/>
        <family val="2"/>
      </rPr>
      <t>por cada endereç</t>
    </r>
    <r>
      <rPr>
        <sz val="11"/>
        <rFont val="Arial"/>
        <family val="2"/>
      </rPr>
      <t>o informado, até o máximo de três visitas.</t>
    </r>
  </si>
  <si>
    <t>9 - Autenticação microfilme (Lei 5.433/68 e Decreto 1.799/96), disco ótico, CD, DVD ou outras mídias.</t>
  </si>
  <si>
    <t>9.1 - Autenticação de cópia extraída de microfilme, disco ótico, CD/DVD ou outras mídias, por página.</t>
  </si>
  <si>
    <t>12.2 - Arquivamento de Relação - aplicar as faixas por páginas estipuladas no item 18 desta tabela - por destinatário</t>
  </si>
  <si>
    <t>13 - Recepção, Arquivamento e Envio de Convites, Avisos, Denúncias e demais atos de comunicação de declaração de vontade ou de ciência, incluída a certidão de encaminhamento e resultado, com utilização de canais digitais (SMS, WhatsApp, etc.) - por destinatário do envio.</t>
  </si>
  <si>
    <t>15 - Digitalização de documentos para exclusivos fins de arquivo</t>
  </si>
  <si>
    <r>
      <t xml:space="preserve">17 - </t>
    </r>
    <r>
      <rPr>
        <b/>
        <sz val="11"/>
        <rFont val="Arial"/>
        <family val="2"/>
      </rPr>
      <t>Averbações e Cancelamentos</t>
    </r>
    <r>
      <rPr>
        <sz val="11"/>
        <rFont val="Arial"/>
        <family val="2"/>
      </rPr>
      <t xml:space="preserve"> - o valor dos emolumentos corresponde </t>
    </r>
    <r>
      <rPr>
        <b/>
        <sz val="11"/>
        <rFont val="Arial"/>
        <family val="2"/>
      </rPr>
      <t>à metade do valor integral dos emolumentos do Registro Objetivado</t>
    </r>
    <r>
      <rPr>
        <sz val="11"/>
        <rFont val="Arial"/>
        <family val="2"/>
      </rPr>
      <t>. Exemplo: calcula-se o valor dos emolumentos, acrescendo-se o correspondente à PMCMV de 2%, e o resultado desta operação será reduzida à metade, adicionando-se, em seguida, os repasses legais.</t>
    </r>
  </si>
  <si>
    <t>Outros Valores Para Complementação das Tabelas</t>
  </si>
  <si>
    <t>Distribuidor</t>
  </si>
  <si>
    <r>
      <t xml:space="preserve">Distribuidor* NOTIFICAÇÂO </t>
    </r>
    <r>
      <rPr>
        <sz val="10"/>
        <rFont val="Arial"/>
        <family val="2"/>
      </rPr>
      <t>(Tab. 4 item 5 + 20% + 5% + 5% + 4¨%)</t>
    </r>
  </si>
  <si>
    <t>Lei nº 3.217/99 - 20% para FETJ</t>
  </si>
  <si>
    <t>Lei Municipal (ISS)</t>
  </si>
  <si>
    <r>
      <t>Valor do Selo (</t>
    </r>
    <r>
      <rPr>
        <sz val="11"/>
        <rFont val="Arial"/>
        <family val="2"/>
      </rPr>
      <t>art. 20 da Portaria)</t>
    </r>
  </si>
  <si>
    <r>
      <t xml:space="preserve">* CÁLCULO DISTRIBUIDOR E EXCEDENTE </t>
    </r>
    <r>
      <rPr>
        <b/>
        <sz val="9"/>
        <rFont val="Arial"/>
        <family val="2"/>
      </rPr>
      <t>(Tab. 4 ou Tab. 19 da Lei 6370/12)</t>
    </r>
  </si>
  <si>
    <t>Tabela 4-item 1a</t>
  </si>
  <si>
    <t>Tabela 4 - item 5</t>
  </si>
  <si>
    <t>Tabela 4-item 1b</t>
  </si>
  <si>
    <t>NOME EXCEDENTE (Quando houver)</t>
  </si>
  <si>
    <r>
      <t xml:space="preserve">1 - Registro/Arquivamento dos </t>
    </r>
    <r>
      <rPr>
        <b/>
        <sz val="11"/>
        <rFont val="Arial"/>
        <family val="2"/>
      </rPr>
      <t>contratos</t>
    </r>
    <r>
      <rPr>
        <sz val="11"/>
        <rFont val="Arial"/>
        <family val="2"/>
      </rPr>
      <t xml:space="preserve"> de constituição de sociedades, de </t>
    </r>
    <r>
      <rPr>
        <b/>
        <sz val="11"/>
        <rFont val="Arial"/>
        <family val="2"/>
      </rPr>
      <t>atas,</t>
    </r>
    <r>
      <rPr>
        <sz val="11"/>
        <rFont val="Arial"/>
        <family val="2"/>
      </rPr>
      <t xml:space="preserve"> balanços e instrumentos em geral de interesse das pessoas jurídicas,</t>
    </r>
    <r>
      <rPr>
        <b/>
        <sz val="11"/>
        <rFont val="Arial"/>
        <family val="2"/>
      </rPr>
      <t xml:space="preserve"> atos de constituição e suas alterações</t>
    </r>
    <r>
      <rPr>
        <sz val="11"/>
        <rFont val="Arial"/>
        <family val="2"/>
      </rPr>
      <t xml:space="preserve"> das associações de apoio às escolas estaduais e municipais, procurações, escrituras públicas, decisões judiciais, ofícios, registro e averbações de oficinas impressoras, jornais, periódicos.</t>
    </r>
  </si>
  <si>
    <r>
      <t>3 -</t>
    </r>
    <r>
      <rPr>
        <b/>
        <sz val="11"/>
        <rFont val="Arial"/>
        <family val="2"/>
      </rPr>
      <t xml:space="preserve"> Acréscimo</t>
    </r>
    <r>
      <rPr>
        <sz val="11"/>
        <rFont val="Arial"/>
        <family val="2"/>
      </rPr>
      <t xml:space="preserve">, de acordo com a escala a seguir, sobre o total da variação resultante da operação ocorrida no ato que trate </t>
    </r>
    <r>
      <rPr>
        <b/>
        <sz val="11"/>
        <rFont val="Arial"/>
        <family val="2"/>
      </rPr>
      <t>sobre movimentação de capital</t>
    </r>
    <r>
      <rPr>
        <sz val="11"/>
        <rFont val="Arial"/>
        <family val="2"/>
      </rPr>
      <t>, seja por aumento ou redução, cessão de quotas por venda ou doação, transferência por inventário, cisão, na cindida, fusão, na extinção das fundidas, incorporação de patrimônio:</t>
    </r>
  </si>
  <si>
    <t>De: R$</t>
  </si>
  <si>
    <t>Até: R$</t>
  </si>
  <si>
    <t>7 - Registro/averbações atos de filial e transferência de sede. Emolumentos da serventia do local de destino.</t>
  </si>
  <si>
    <r>
      <t xml:space="preserve">9 - Certidão física de inteiro teor, por ato registrado, </t>
    </r>
    <r>
      <rPr>
        <u/>
        <sz val="11"/>
        <rFont val="Arial"/>
        <family val="2"/>
      </rPr>
      <t>até 10 páginas</t>
    </r>
    <r>
      <rPr>
        <sz val="11"/>
        <rFont val="Arial"/>
        <family val="2"/>
      </rPr>
      <t>,</t>
    </r>
    <r>
      <rPr>
        <b/>
        <sz val="11"/>
        <color rgb="FFFF0000"/>
        <rFont val="Arial"/>
        <family val="2"/>
      </rPr>
      <t xml:space="preserve"> acrescido de 5% do valor, por página excedente</t>
    </r>
  </si>
  <si>
    <r>
      <t xml:space="preserve">10 - Via adicional física, por ato, gerada por ocasião do registro, </t>
    </r>
    <r>
      <rPr>
        <u/>
        <sz val="11"/>
        <rFont val="Arial"/>
        <family val="2"/>
      </rPr>
      <t>até 10 páginas,</t>
    </r>
    <r>
      <rPr>
        <b/>
        <sz val="11"/>
        <color rgb="FFFF0000"/>
        <rFont val="Arial"/>
        <family val="2"/>
      </rPr>
      <t xml:space="preserve"> acrescido de 5% do valor por página excedente.</t>
    </r>
  </si>
  <si>
    <r>
      <t>16 - Certidão descritiva sobre o estado, forma e regularidade da documentação apresentada fisicamente na serventia para digitalização e remessa para outra serventia,</t>
    </r>
    <r>
      <rPr>
        <u/>
        <sz val="11"/>
        <rFont val="Arial"/>
        <family val="2"/>
      </rPr>
      <t xml:space="preserve"> até 30 páginas</t>
    </r>
    <r>
      <rPr>
        <sz val="11"/>
        <rFont val="Arial"/>
        <family val="2"/>
      </rPr>
      <t xml:space="preserve">, </t>
    </r>
    <r>
      <rPr>
        <b/>
        <sz val="11"/>
        <color rgb="FFFF0000"/>
        <rFont val="Arial"/>
        <family val="2"/>
      </rPr>
      <t>acrescido de 5% do valor por página excedente.</t>
    </r>
  </si>
  <si>
    <t>Obs. 3 - Se for primeira aquisição - SFH - 50% dos emolumentos, e não incidirão os Fundos). NI-7</t>
  </si>
  <si>
    <t>v. Tab. 5.1</t>
  </si>
  <si>
    <t>Valor Máximo a ser cobrado na escritura (art. 1º § 3º Portaria) + Nota Integrante 24</t>
  </si>
  <si>
    <r>
      <t>- Valor Máximo -</t>
    </r>
    <r>
      <rPr>
        <sz val="11"/>
        <rFont val="Arial"/>
        <family val="2"/>
      </rPr>
      <t xml:space="preserve"> Mais de um bem - Art. 19 da Portaria, valor total não ultrapassará</t>
    </r>
  </si>
  <si>
    <r>
      <t xml:space="preserve">1 - </t>
    </r>
    <r>
      <rPr>
        <b/>
        <u/>
        <sz val="11"/>
        <rFont val="Arial"/>
        <family val="2"/>
      </rPr>
      <t>Escritura</t>
    </r>
    <r>
      <rPr>
        <sz val="11"/>
        <rFont val="Arial"/>
        <family val="2"/>
      </rPr>
      <t xml:space="preserve"> com valor declarado (lavratura e traslado)</t>
    </r>
  </si>
  <si>
    <t>(Valor total = Emolumentos+Adicionais+BIB+Dist+Selo) não poderá ultrapassar) - Art. 19 da Portaria + Aviso CGJ 79/2023)</t>
  </si>
  <si>
    <t>1.1 - Escritura de Instituição, Discriminação e Divisão de Condomínio (Até 10 unidades)</t>
  </si>
  <si>
    <t>---</t>
  </si>
  <si>
    <t>ver item 1</t>
  </si>
  <si>
    <r>
      <t>Valor do BIB (</t>
    </r>
    <r>
      <rPr>
        <sz val="11"/>
        <rFont val="Arial"/>
        <family val="2"/>
      </rPr>
      <t>art. 17,a da Portaria)</t>
    </r>
  </si>
  <si>
    <t>Lei nº 4.664/05 - 5% para o FUNDPERJ e LC nº 111/06 -FUNPERJ</t>
  </si>
  <si>
    <t>b) Separação Consensual, Conversão em Divórcio, divórcio direto e Inventário Negativo</t>
  </si>
  <si>
    <t>---  Emolumento Mínimo</t>
  </si>
  <si>
    <r>
      <t xml:space="preserve">II - Público </t>
    </r>
    <r>
      <rPr>
        <b/>
        <sz val="11"/>
        <color rgb="FFFF0000"/>
        <rFont val="Arial"/>
        <family val="2"/>
      </rPr>
      <t xml:space="preserve"> (igual item 1)</t>
    </r>
  </si>
  <si>
    <r>
      <rPr>
        <b/>
        <sz val="11"/>
        <rFont val="Arial"/>
        <family val="2"/>
      </rPr>
      <t xml:space="preserve">6 - Ata notarial sem conteúdo econômico </t>
    </r>
    <r>
      <rPr>
        <sz val="11"/>
        <rFont val="Arial"/>
        <family val="2"/>
      </rPr>
      <t>(pela primeira folha)</t>
    </r>
  </si>
  <si>
    <r>
      <t xml:space="preserve"> </t>
    </r>
    <r>
      <rPr>
        <i/>
        <sz val="11"/>
        <color rgb="FFFF0000"/>
        <rFont val="Arial"/>
        <family val="2"/>
      </rPr>
      <t xml:space="preserve">-- </t>
    </r>
    <r>
      <rPr>
        <b/>
        <i/>
        <sz val="11"/>
        <color rgb="FFFF0000"/>
        <rFont val="Arial"/>
        <family val="2"/>
      </rPr>
      <t xml:space="preserve">Nota 12.1 </t>
    </r>
    <r>
      <rPr>
        <i/>
        <sz val="11"/>
        <rFont val="Arial"/>
        <family val="2"/>
      </rPr>
      <t xml:space="preserve">- Atos COM valor declarado - lavrados Fora do Cartório/Expediente - Cobra Mais o valor de </t>
    </r>
  </si>
  <si>
    <r>
      <rPr>
        <i/>
        <sz val="11"/>
        <color rgb="FFFF0000"/>
        <rFont val="Arial"/>
        <family val="2"/>
      </rPr>
      <t xml:space="preserve"> --  </t>
    </r>
    <r>
      <rPr>
        <b/>
        <i/>
        <sz val="11"/>
        <color rgb="FFFF0000"/>
        <rFont val="Arial"/>
        <family val="2"/>
      </rPr>
      <t xml:space="preserve">Nota 12 </t>
    </r>
    <r>
      <rPr>
        <i/>
        <sz val="11"/>
        <rFont val="Arial"/>
        <family val="2"/>
      </rPr>
      <t xml:space="preserve">- Atos SEM valor declarado - lavrados Fora do Cartório/Expediente - Cobrar DOBRO do valor </t>
    </r>
  </si>
  <si>
    <r>
      <t xml:space="preserve">1. </t>
    </r>
    <r>
      <rPr>
        <b/>
        <u/>
        <sz val="11"/>
        <rFont val="Arial"/>
        <family val="2"/>
      </rPr>
      <t xml:space="preserve">Escritura </t>
    </r>
    <r>
      <rPr>
        <b/>
        <sz val="11"/>
        <rFont val="Arial"/>
        <family val="2"/>
      </rPr>
      <t>de SEPARAÇÃO, DIVORCIO E PARTILHA DE BENS - Lei 11.441/07</t>
    </r>
  </si>
  <si>
    <r>
      <t>B)</t>
    </r>
    <r>
      <rPr>
        <sz val="10"/>
        <rFont val="Arial"/>
        <family val="2"/>
      </rPr>
      <t xml:space="preserve"> Seja qual for o nº de bens na partilha, teremos 1 ato e 1 selo</t>
    </r>
  </si>
  <si>
    <r>
      <t>C)</t>
    </r>
    <r>
      <rPr>
        <sz val="10"/>
        <rFont val="Arial"/>
        <family val="2"/>
      </rPr>
      <t xml:space="preserve"> Nas partilhas de </t>
    </r>
    <r>
      <rPr>
        <b/>
        <sz val="10"/>
        <rFont val="Arial"/>
        <family val="2"/>
      </rPr>
      <t>BENS MÓVEIS</t>
    </r>
    <r>
      <rPr>
        <sz val="10"/>
        <rFont val="Arial"/>
        <family val="2"/>
      </rPr>
      <t>, os emolumentos serão calculados pelo somatório do valor dos bens,  até o teto máximo . observado o item "A" acima, considerando-se o montante de bens da escritura como único ato (1 selo )</t>
    </r>
  </si>
  <si>
    <r>
      <t>D)</t>
    </r>
    <r>
      <rPr>
        <sz val="10"/>
        <rFont val="Arial"/>
        <family val="2"/>
      </rPr>
      <t xml:space="preserve"> Nas partilhas de </t>
    </r>
    <r>
      <rPr>
        <b/>
        <sz val="10"/>
        <rFont val="Arial"/>
        <family val="2"/>
      </rPr>
      <t>BENS IMÓVEIS</t>
    </r>
    <r>
      <rPr>
        <sz val="10"/>
        <rFont val="Arial"/>
        <family val="2"/>
      </rPr>
      <t>, os emolumentos serão cobrados pelo somatório obtido das faixas de cada imóvel, até o teto máximo (item "A" acima), considerando-se o montante dos bens da escritura como único ato (1 selo )</t>
    </r>
  </si>
  <si>
    <r>
      <rPr>
        <b/>
        <sz val="10"/>
        <rFont val="Arial"/>
        <family val="2"/>
      </rPr>
      <t>E)</t>
    </r>
    <r>
      <rPr>
        <sz val="10"/>
        <rFont val="Arial"/>
        <family val="2"/>
      </rPr>
      <t xml:space="preserve"> Atos </t>
    </r>
    <r>
      <rPr>
        <b/>
        <sz val="10"/>
        <rFont val="Arial"/>
        <family val="2"/>
      </rPr>
      <t xml:space="preserve">sem </t>
    </r>
    <r>
      <rPr>
        <sz val="10"/>
        <rFont val="Arial"/>
        <family val="2"/>
      </rPr>
      <t xml:space="preserve">valor declarado lavrados </t>
    </r>
    <r>
      <rPr>
        <b/>
        <sz val="10"/>
        <rFont val="Arial"/>
        <family val="2"/>
      </rPr>
      <t>fora do horário de expediente ou fora da serventia</t>
    </r>
    <r>
      <rPr>
        <sz val="10"/>
        <rFont val="Arial"/>
        <family val="2"/>
      </rPr>
      <t xml:space="preserve"> terão emolumentos em dobro</t>
    </r>
  </si>
  <si>
    <t>Guarda digital facultativa de titulos ou documentos de dívida</t>
  </si>
  <si>
    <t>Tab. 9 - item 2 - CANCELAMENTOS DE TÍTULOS APRESENTADOS A PROTESTO - APÓS 05-01-2023</t>
  </si>
  <si>
    <t>FAIXAS - Tab. 9 - item 1</t>
  </si>
  <si>
    <t>Monitoramento da protocolização por devedor a cada dia (50% Tab.16-1)</t>
  </si>
  <si>
    <r>
      <rPr>
        <b/>
        <sz val="11"/>
        <rFont val="Arial"/>
        <family val="2"/>
      </rPr>
      <t>Obs. 2</t>
    </r>
    <r>
      <rPr>
        <sz val="11"/>
        <rFont val="Arial"/>
        <family val="2"/>
      </rPr>
      <t xml:space="preserve"> - NI-13 - Valor do Cancelamento do título apresentado com </t>
    </r>
    <r>
      <rPr>
        <b/>
        <sz val="11"/>
        <rFont val="Arial"/>
        <family val="2"/>
      </rPr>
      <t>prévio pagamento</t>
    </r>
    <r>
      <rPr>
        <sz val="11"/>
        <rFont val="Arial"/>
        <family val="2"/>
      </rPr>
      <t>, após 05.01.23</t>
    </r>
  </si>
  <si>
    <r>
      <rPr>
        <b/>
        <sz val="11"/>
        <rFont val="Arial"/>
        <family val="2"/>
      </rPr>
      <t>Obs. 1</t>
    </r>
    <r>
      <rPr>
        <sz val="11"/>
        <rFont val="Arial"/>
        <family val="2"/>
      </rPr>
      <t xml:space="preserve">.: NI-12 - Valor do </t>
    </r>
    <r>
      <rPr>
        <b/>
        <sz val="11"/>
        <rFont val="Arial"/>
        <family val="2"/>
      </rPr>
      <t>Cancelamento para títulos apresentados antes da sistemática da Lei 9.873/22</t>
    </r>
    <r>
      <rPr>
        <sz val="11"/>
        <rFont val="Arial"/>
        <family val="2"/>
      </rPr>
      <t xml:space="preserve">, sob a forma de </t>
    </r>
    <r>
      <rPr>
        <b/>
        <sz val="11"/>
        <rFont val="Arial"/>
        <family val="2"/>
      </rPr>
      <t>pagamento postergada</t>
    </r>
    <r>
      <rPr>
        <sz val="11"/>
        <rFont val="Arial"/>
        <family val="2"/>
      </rPr>
      <t xml:space="preserve"> (convênio, CDA, etc). Valor único.</t>
    </r>
  </si>
  <si>
    <t>Cancelamento de títulos apresentados até 04/01/2023, na forma postergada</t>
  </si>
  <si>
    <t>Cancelamento de títulos apresentados após 05/01/2023, c/ previo pagamento</t>
  </si>
  <si>
    <t>50% do item 1</t>
  </si>
  <si>
    <t xml:space="preserve">2  - SEM VALOR DECLARADO (inclusive Atas) </t>
  </si>
  <si>
    <r>
      <t xml:space="preserve">17 - </t>
    </r>
    <r>
      <rPr>
        <b/>
        <sz val="11"/>
        <rFont val="Arial"/>
        <family val="2"/>
      </rPr>
      <t xml:space="preserve">Averbações e Cancelamentos </t>
    </r>
    <r>
      <rPr>
        <sz val="11"/>
        <rFont val="Arial"/>
        <family val="2"/>
      </rPr>
      <t>- o valor dos emolumentos corresponde à metade do valor integral dos emolumentos. Exemplo: calcula-se o valor dos emolumentos, acrescendo-se o correspondente à PMCMV de 2%, e o resultado desta operação será reduzida à metade, adicionando-se, em seguida, os repasses legais.</t>
    </r>
  </si>
  <si>
    <t>Lei 6.370/12 (PMCMV) - 2%</t>
  </si>
  <si>
    <t>DISTRIBUIÇÂO DE NOTIFICAÇÂO NO RTD</t>
  </si>
  <si>
    <r>
      <rPr>
        <b/>
        <sz val="11"/>
        <rFont val="Arial"/>
        <family val="2"/>
      </rPr>
      <t>Obs. 1</t>
    </r>
    <r>
      <rPr>
        <sz val="11"/>
        <rFont val="Arial"/>
        <family val="2"/>
      </rPr>
      <t>- Nos contratos de Prazo Indeterminado, com obrigaçao de pagamento em prestação, considerar-se-á o valor de uma ANUIDADE, para fins de cálculo  dos emolumentos, segundo item 1, I acima. (Nota 3)</t>
    </r>
  </si>
  <si>
    <r>
      <rPr>
        <b/>
        <sz val="11"/>
        <rFont val="Arial"/>
        <family val="2"/>
      </rPr>
      <t>Obs. 2</t>
    </r>
    <r>
      <rPr>
        <sz val="11"/>
        <rFont val="Arial"/>
        <family val="2"/>
      </rPr>
      <t xml:space="preserve"> - A tabela acima e os valores nela previstos são aplicáveis aos títulos de procedência estrangeira. N7</t>
    </r>
  </si>
  <si>
    <t xml:space="preserve">Obs. 2 -Aviso 704/2005 (DOE 28/12/05, pág.43/44 ) -Proc. 2004/236531-CGJ -Não há REDUÇÃO de emolumentos quando tratar-se de  instrumento particular de CV com alienação fiduciária pelo SFI (Lei 9.514/97), mas incide se for SFH (mesmo que contrato c/ alienação fiduciária), sendo de 50% (art. 290-lei 6.015). Se 1ª Aquisição - ISENÇÂO 20%, 5%, 4% (Lei 3.350/99 - art. 44) </t>
  </si>
  <si>
    <t xml:space="preserve">Obs. 3 - Cobrança de DOI em escritura, mesmo que conste EMITIDA DOI: IN-RFB-1.112/2010 e IN-RFB 1.193/2011, DOU de 16.09.2011-Receita Federal - </t>
  </si>
  <si>
    <t>Dos Oficios e Atos do Registro de Imóveis</t>
  </si>
  <si>
    <t>b) visualização da matrícula online, por matrícula</t>
  </si>
  <si>
    <t>Pela Certidão de Prenotação =</t>
  </si>
  <si>
    <t>+ Cancelamento da Prenotação =</t>
  </si>
  <si>
    <t>Obs. 2 - O valor máximo dos emolumentos não pode ultrapassar o valor da Taxa Judiciária Máxima. Art. 1º § 3º da Portaria</t>
  </si>
  <si>
    <t/>
  </si>
  <si>
    <t>11) Reconhecimento para fins de AEV - Autorização Eletrônica de Viagem</t>
  </si>
  <si>
    <t>Obs. 4 - Cobrança Distribuidor em Escritura de Outro Município - Provimento 58/2012 - DOE de 08.10.12 - Código de Normas - art. 1.111 - § 1º.  Deve-se observar que há alteração na cobrança de custas tanto nos Registros de Escrituras (Exemplo: Compra e Venda; Alienação Fiduciária, Inventário, Pacto no livro 3), quanto nas Averbações constantes de Escrituras (Exemplo: Rerra - Aditamento, Pacto etc) oriundas de outro município.</t>
  </si>
  <si>
    <t>Obs. 1 - A Distribuição ocorrerá Para Títulos Judiciais e Instrumentos Particulares, com transferência de domínio, extensível a procurações e Escrituras Lavradas em outro Município</t>
  </si>
  <si>
    <t>Nota 13ª = DESISTENCIA DO REGISTRO, após realização do Exame (= item 10)</t>
  </si>
  <si>
    <t>(o valor máximo do art. 19 da Portaria e do Aviso CGJ 79/2023 só se aplica a Notas)</t>
  </si>
  <si>
    <t>9.1 - Por página excedente (5% do valor da Certidão)</t>
  </si>
  <si>
    <t>10.1 - Por página excedente (5% do valor da via adicional)</t>
  </si>
  <si>
    <t>16.1 - Por página excedente  (5% do valor da Certidão)</t>
  </si>
  <si>
    <t>Obs.1 - O valor máximo dos emolumentos não pode ultrapassar a Metade do valor da Taxa Judiciária Máxima</t>
  </si>
  <si>
    <t>Obs. 1 - O valor máximo dos emolumentos não poderá ultrapassar 4x o valor da Taxa Judiciária Máxima</t>
  </si>
  <si>
    <t>TABELA 01 (Tabela 16 - Lei 6370)</t>
  </si>
  <si>
    <t>1-1</t>
  </si>
  <si>
    <t>Atos COMUNS</t>
  </si>
  <si>
    <t>Cert</t>
  </si>
  <si>
    <r>
      <t xml:space="preserve">2 - Aposição de visto em certidão, ou </t>
    </r>
    <r>
      <rPr>
        <b/>
        <sz val="11"/>
        <rFont val="Arial"/>
        <family val="2"/>
      </rPr>
      <t>informação verbal</t>
    </r>
    <r>
      <rPr>
        <sz val="11"/>
        <rFont val="Arial"/>
        <family val="2"/>
      </rPr>
      <t>, solicitada pessoalmente, ou por qualquer outro meio, pelo interessado. (Buscas)</t>
    </r>
  </si>
  <si>
    <t>Busc</t>
  </si>
  <si>
    <r>
      <t xml:space="preserve">1 - </t>
    </r>
    <r>
      <rPr>
        <b/>
        <sz val="11"/>
        <rFont val="Arial"/>
        <family val="2"/>
      </rPr>
      <t>Certidões extraídas de livros</t>
    </r>
    <r>
      <rPr>
        <sz val="11"/>
        <rFont val="Arial"/>
        <family val="2"/>
      </rPr>
      <t xml:space="preserve">, assentamentos ou outros papéis arquivados, de atos ou de fatos conhecidos em razão do ofício, qualquer que seja, </t>
    </r>
    <r>
      <rPr>
        <b/>
        <sz val="11"/>
        <rFont val="Arial"/>
        <family val="2"/>
      </rPr>
      <t>além da busca</t>
    </r>
    <r>
      <rPr>
        <sz val="11"/>
        <rFont val="Arial"/>
        <family val="2"/>
      </rPr>
      <t xml:space="preserve">, devendo cada página conter o mínimo de 30 (trinta) linhas: </t>
    </r>
    <r>
      <rPr>
        <b/>
        <u/>
        <sz val="11"/>
        <rFont val="Arial"/>
        <family val="2"/>
      </rPr>
      <t>por folha</t>
    </r>
  </si>
  <si>
    <r>
      <t>1 - Folha Excedente/Certidão extraída de livros ou outros papéis arquivados, de atos ou de fatos conhe-cidos em razão do ofício, qualquer que seja,</t>
    </r>
    <r>
      <rPr>
        <b/>
        <sz val="10"/>
        <rFont val="Arial"/>
        <family val="2"/>
      </rPr>
      <t xml:space="preserve"> além da busca</t>
    </r>
    <r>
      <rPr>
        <sz val="10"/>
        <rFont val="Arial"/>
        <family val="2"/>
      </rPr>
      <t>, devendo cada página conter até 30 linhas.</t>
    </r>
  </si>
  <si>
    <t xml:space="preserve">  Obs. 1 - O valor máximo dos emolumentos não pode ultrapassar o valor da Taxa Judiciária Máxima, art 1º §3º da Portaria</t>
  </si>
  <si>
    <t xml:space="preserve">   Obs.1 - O valor máximo dos emolumentos não pode ultrapassar a Metade do valor da Taxa Judiciária Máxima</t>
  </si>
  <si>
    <r>
      <t xml:space="preserve">2 - BUSCAS ou INFORMAÇAO VERBAL solicitada, em livros ou papéis arquivados qualquer que seja o número de livros ou série de livros nelas compreendidas, </t>
    </r>
    <r>
      <rPr>
        <b/>
        <sz val="10"/>
        <rFont val="Arial"/>
        <family val="2"/>
      </rPr>
      <t>relativas a nome ou imóvel</t>
    </r>
    <r>
      <rPr>
        <sz val="10"/>
        <rFont val="Arial"/>
        <family val="2"/>
      </rPr>
      <t>, por assunto.</t>
    </r>
  </si>
  <si>
    <t>TABELA - EXTRA AUXILIAR</t>
  </si>
  <si>
    <r>
      <t>Nome Excedente (</t>
    </r>
    <r>
      <rPr>
        <sz val="11"/>
        <rFont val="Arial"/>
        <family val="2"/>
      </rPr>
      <t>Tab. 4, item 1b + 20% + 5% + 5% + 4%)</t>
    </r>
  </si>
  <si>
    <r>
      <t xml:space="preserve">COM VALOR DECLARADO (COM 50% - PMCMV) - </t>
    </r>
    <r>
      <rPr>
        <b/>
        <sz val="10"/>
        <color indexed="10"/>
        <rFont val="Arial"/>
        <family val="2"/>
      </rPr>
      <t>(art. 43, II - Lei 11977/09</t>
    </r>
    <r>
      <rPr>
        <b/>
        <sz val="11"/>
        <color indexed="10"/>
        <rFont val="Arial"/>
        <family val="2"/>
      </rPr>
      <t>)</t>
    </r>
  </si>
  <si>
    <t>COM VALOR DECLARADO (INSTRUMENTO. PARTICULAR, TITULO JUDICIAL E ESCRITURA DE OUTRO MUNICIPIO)</t>
  </si>
  <si>
    <t>Sub Total</t>
  </si>
  <si>
    <t xml:space="preserve">   Art. 19 da Portaria + Aviso CGJ 79/2023)</t>
  </si>
  <si>
    <t>Valor Minimo</t>
  </si>
  <si>
    <t>1.1 - Escritura de Instituição,Discriminação e Divisão de Condomínio     (Até 10 unidades)</t>
  </si>
  <si>
    <r>
      <t xml:space="preserve">  </t>
    </r>
    <r>
      <rPr>
        <b/>
        <u/>
        <sz val="10"/>
        <color rgb="FF0070C0"/>
        <rFont val="Arial"/>
        <family val="2"/>
      </rPr>
      <t>Valor Máximo</t>
    </r>
    <r>
      <rPr>
        <b/>
        <sz val="10"/>
        <color rgb="FF0070C0"/>
        <rFont val="Arial"/>
        <family val="2"/>
      </rPr>
      <t xml:space="preserve"> na escritura (Lei 11.441) não pode ultrapassar  ..</t>
    </r>
  </si>
  <si>
    <r>
      <t xml:space="preserve"> </t>
    </r>
    <r>
      <rPr>
        <b/>
        <u/>
        <sz val="10"/>
        <color rgb="FF0070C0"/>
        <rFont val="Arial"/>
        <family val="2"/>
      </rPr>
      <t>Valor Máximo "Total"</t>
    </r>
    <r>
      <rPr>
        <b/>
        <sz val="10"/>
        <color rgb="FF0070C0"/>
        <rFont val="Arial"/>
        <family val="2"/>
      </rPr>
      <t xml:space="preserve">  na escritura (Emolumentos+Fundos+Distr+Bib+Selo) NÃO ultrapassará valor da Taxa Judiciária Máxima, de:</t>
    </r>
  </si>
  <si>
    <t>5 - Testamento</t>
  </si>
  <si>
    <r>
      <rPr>
        <b/>
        <sz val="10"/>
        <rFont val="Arial"/>
        <family val="2"/>
      </rPr>
      <t>F)</t>
    </r>
    <r>
      <rPr>
        <sz val="10"/>
        <rFont val="Arial"/>
        <family val="2"/>
      </rPr>
      <t xml:space="preserve"> Atos </t>
    </r>
    <r>
      <rPr>
        <b/>
        <sz val="10"/>
        <rFont val="Arial"/>
        <family val="2"/>
      </rPr>
      <t xml:space="preserve">com </t>
    </r>
    <r>
      <rPr>
        <sz val="10"/>
        <rFont val="Arial"/>
        <family val="2"/>
      </rPr>
      <t xml:space="preserve">valor declarado lavrados </t>
    </r>
    <r>
      <rPr>
        <b/>
        <sz val="10"/>
        <rFont val="Arial"/>
        <family val="2"/>
      </rPr>
      <t xml:space="preserve">fora do horário de expediente ou fora da serventia, sem prejuízo das despesas de transporte </t>
    </r>
    <r>
      <rPr>
        <sz val="10"/>
        <rFont val="Arial"/>
        <family val="2"/>
      </rPr>
      <t xml:space="preserve"> serão acrescidos de  R$</t>
    </r>
  </si>
  <si>
    <t>c) União Estável pelo regime comum</t>
  </si>
  <si>
    <r>
      <t>1.3 - Escrituras de Quitação e Rescisão (</t>
    </r>
    <r>
      <rPr>
        <b/>
        <sz val="11"/>
        <color indexed="10"/>
        <rFont val="Arial"/>
        <family val="2"/>
      </rPr>
      <t>1/6 do item 1 desta Tabela</t>
    </r>
    <r>
      <rPr>
        <b/>
        <sz val="11"/>
        <rFont val="Arial"/>
        <family val="2"/>
      </rPr>
      <t>)</t>
    </r>
  </si>
  <si>
    <t>1.3 - Escrituras de Quitação e Rescisão (1/6 do item 1) - Valor mínimo</t>
  </si>
  <si>
    <t>EMOL - Tb16</t>
  </si>
  <si>
    <t>1. Lei 11.441/07 - Separação, Divórcio e Partilha (com bens)</t>
  </si>
  <si>
    <t>d) União estável com regime diverso do comum; Contrato de namoro</t>
  </si>
  <si>
    <t>SubTotal</t>
  </si>
  <si>
    <r>
      <t>A)</t>
    </r>
    <r>
      <rPr>
        <sz val="10"/>
        <rFont val="Arial"/>
        <family val="2"/>
      </rPr>
      <t xml:space="preserve"> O teto (Valor Máximo) a ser cobrado pelos atos da Lei 11441/2007 inclui os emolumentos, tributos e todos os acréscimos legais, distribuidor, BIB e Selos. E NÃO DEVE ultrapassar o valor de R$</t>
    </r>
  </si>
  <si>
    <r>
      <t xml:space="preserve">4 - </t>
    </r>
    <r>
      <rPr>
        <b/>
        <sz val="11"/>
        <rFont val="Arial"/>
        <family val="2"/>
      </rPr>
      <t>Registro de livros</t>
    </r>
    <r>
      <rPr>
        <sz val="11"/>
        <rFont val="Arial"/>
        <family val="2"/>
      </rPr>
      <t xml:space="preserve"> físicos e em PDF a cada 200 páginas ou fração e digital a cada 1024 Kb ou fração</t>
    </r>
  </si>
  <si>
    <t xml:space="preserve">   (art. 1º § 3º Portaria + Nota Integrante 24)</t>
  </si>
  <si>
    <t>TABELA 01 (Tabela 16 da Lei 6.370/2012 - Redação da lei 9.873/22)</t>
  </si>
  <si>
    <t>Escritura 2 ATOS com Valor (Ex. CV+Alienação)</t>
  </si>
  <si>
    <t>Escritura 2 Atos = 1  Com Valor  + 1  Sem Valor     (Exemplo CV + ReRRA)</t>
  </si>
  <si>
    <t xml:space="preserve"> 6281/12</t>
  </si>
  <si>
    <t>Páginas Excedentes</t>
  </si>
  <si>
    <r>
      <t xml:space="preserve">11 - Simples custódia temporária (válida por um ano) de documentos digitalizados ou nato-digitais para fins de eventual registro ou certificação, </t>
    </r>
    <r>
      <rPr>
        <b/>
        <sz val="11"/>
        <rFont val="Arial"/>
        <family val="2"/>
      </rPr>
      <t>por página</t>
    </r>
    <r>
      <rPr>
        <sz val="11"/>
        <rFont val="Arial"/>
        <family val="2"/>
      </rPr>
      <t>.</t>
    </r>
  </si>
  <si>
    <t>16 - Certidão extraída de título, documento ou papel registrado, arquivado ou custodiado - (1 a 10 pg)</t>
  </si>
  <si>
    <r>
      <t xml:space="preserve">5 - </t>
    </r>
    <r>
      <rPr>
        <b/>
        <sz val="11"/>
        <color rgb="FFFF0000"/>
        <rFont val="Arial"/>
        <family val="2"/>
      </rPr>
      <t>Registro, por destinatário,  de NOTIFICAÇÂO,</t>
    </r>
    <r>
      <rPr>
        <sz val="11"/>
        <rFont val="Arial"/>
        <family val="2"/>
      </rPr>
      <t xml:space="preserve"> Interpelações, Intimações, Avisos, Denúncias e demais Atos de Participação ou ciência, incluida a certidão</t>
    </r>
  </si>
  <si>
    <r>
      <t xml:space="preserve">6 - </t>
    </r>
    <r>
      <rPr>
        <b/>
        <sz val="11"/>
        <color rgb="FFFF0000"/>
        <rFont val="Arial"/>
        <family val="2"/>
      </rPr>
      <t>Registro de Notificação, incluída a certidão da diligência</t>
    </r>
    <r>
      <rPr>
        <sz val="11"/>
        <rFont val="Arial"/>
        <family val="2"/>
      </rPr>
      <t xml:space="preserve"> e anotação à margem do registro prévio de instrumento de crédito, nas hipóteses de alienação fiduciária, arrendamento mercantil (leasing), compra e venda com reserva de domínio e penhor mercantil de bens móveis.</t>
    </r>
  </si>
  <si>
    <t>OBSERVAÇÔES    IMPORTANTES</t>
  </si>
  <si>
    <r>
      <t>18 - Nos itens 1, 2, 3, 5, 6, 12 e 16 deverão ser acrescidas as páginas, conforme a tabela progressiva a seguir,</t>
    </r>
    <r>
      <rPr>
        <b/>
        <sz val="11"/>
        <rFont val="Arial"/>
        <family val="2"/>
      </rPr>
      <t xml:space="preserve"> por documento.</t>
    </r>
  </si>
  <si>
    <r>
      <rPr>
        <b/>
        <sz val="10"/>
        <rFont val="Arial"/>
        <family val="2"/>
      </rPr>
      <t>Obs. 1</t>
    </r>
    <r>
      <rPr>
        <sz val="10"/>
        <rFont val="Arial"/>
        <family val="2"/>
      </rPr>
      <t xml:space="preserve">- </t>
    </r>
    <r>
      <rPr>
        <b/>
        <sz val="10"/>
        <rFont val="Arial"/>
        <family val="2"/>
      </rPr>
      <t>Nos contratos de prazo indeterminado, com obrigações em prestações sucessivas</t>
    </r>
    <r>
      <rPr>
        <sz val="10"/>
        <rFont val="Arial"/>
        <family val="2"/>
      </rPr>
      <t>, considerar-se-á como base de cálculo dos emolumentos o valor de uma anuidade. (N.INT. 3)</t>
    </r>
  </si>
  <si>
    <t>Tab 9-Nota 12ª -CANCELAMENTOS DE TÍTULOS POSTERGADOS APRESENTADOS A PROTESTO-ATÉ 04.01.2023 (Antes vigência Lei 9.873/22)</t>
  </si>
  <si>
    <t>50% tab. 9 - 1</t>
  </si>
  <si>
    <t>9- nota 12ª</t>
  </si>
  <si>
    <t>Tab. 1-2</t>
  </si>
  <si>
    <r>
      <rPr>
        <b/>
        <sz val="11"/>
        <color rgb="FFFF0000"/>
        <rFont val="Arial"/>
        <family val="2"/>
      </rPr>
      <t>Obs. 3</t>
    </r>
    <r>
      <rPr>
        <sz val="11"/>
        <color rgb="FFFF0000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Valor do p</t>
    </r>
    <r>
      <rPr>
        <sz val="11"/>
        <color rgb="FFFF0000"/>
        <rFont val="Arial"/>
        <family val="2"/>
      </rPr>
      <t xml:space="preserve">rotesto de títulos ou outro documento de dívida, e lavratura do respectivo instrumento, com pagamento POSTERGADO: </t>
    </r>
    <r>
      <rPr>
        <b/>
        <sz val="11"/>
        <color rgb="FFFF0000"/>
        <rFont val="Arial"/>
        <family val="2"/>
      </rPr>
      <t>(protocolo antes de 05/01/2023 e da vigência da lei 9.873/22)</t>
    </r>
  </si>
  <si>
    <t xml:space="preserve">CANC   </t>
  </si>
  <si>
    <t>NI-12</t>
  </si>
  <si>
    <t>Tabela 4-item 10</t>
  </si>
  <si>
    <r>
      <rPr>
        <b/>
        <sz val="10"/>
        <color theme="1"/>
        <rFont val="Calibri"/>
        <family val="2"/>
        <scheme val="minor"/>
      </rPr>
      <t>BUSCAS</t>
    </r>
    <r>
      <rPr>
        <sz val="10"/>
        <color theme="1"/>
        <rFont val="Calibri"/>
        <family val="2"/>
        <scheme val="minor"/>
      </rPr>
      <t xml:space="preserve"> em livros ou papéis, qualquer que seja o número de livros ou série de livros nelas compreendidas, ou de papéis arquivados, </t>
    </r>
    <r>
      <rPr>
        <b/>
        <sz val="10"/>
        <color theme="1"/>
        <rFont val="Calibri"/>
        <family val="2"/>
        <scheme val="minor"/>
      </rPr>
      <t>relativas a nome ou imóvel,</t>
    </r>
    <r>
      <rPr>
        <sz val="10"/>
        <color theme="1"/>
        <rFont val="Calibri"/>
        <family val="2"/>
        <scheme val="minor"/>
      </rPr>
      <t xml:space="preserve"> por assunto, </t>
    </r>
    <r>
      <rPr>
        <b/>
        <sz val="10"/>
        <color theme="1"/>
        <rFont val="Calibri"/>
        <family val="2"/>
        <scheme val="minor"/>
      </rPr>
      <t>cada cinco anos ou fração</t>
    </r>
  </si>
  <si>
    <r>
      <t>Averbação com Conteúdo Econômico                                                                                              (</t>
    </r>
    <r>
      <rPr>
        <b/>
        <sz val="11"/>
        <color indexed="10"/>
        <rFont val="Arial"/>
        <family val="2"/>
      </rPr>
      <t>SE CONSTANTE DE ESCRITURA DE OUTRO MUNICÍPIO)</t>
    </r>
  </si>
  <si>
    <t>(obs.: exportar só emolumentos)</t>
  </si>
  <si>
    <r>
      <t xml:space="preserve">16 - </t>
    </r>
    <r>
      <rPr>
        <b/>
        <sz val="11"/>
        <color rgb="FFFF0000"/>
        <rFont val="Arial"/>
        <family val="2"/>
      </rPr>
      <t>CERTIDÃO</t>
    </r>
    <r>
      <rPr>
        <sz val="11"/>
        <rFont val="Arial"/>
        <family val="2"/>
      </rPr>
      <t xml:space="preserve"> extraída de Título registrado, arquivado (1 a 10 pg)</t>
    </r>
  </si>
  <si>
    <t xml:space="preserve">  ISS</t>
  </si>
  <si>
    <t>ATÉ</t>
  </si>
  <si>
    <t>Tabela 7 - Tabelionato de Notas</t>
  </si>
  <si>
    <t xml:space="preserve">1 - Escritura com valor declarado (lavratura e traslado) </t>
  </si>
  <si>
    <t>LEI 11.441/07 - SEPARAÇÃO, DIVORCIO E PARTILHA (COM BENS)</t>
  </si>
  <si>
    <t xml:space="preserve">- Valor Minimo </t>
  </si>
  <si>
    <t xml:space="preserve">- Valor Máximo </t>
  </si>
  <si>
    <t>b) Separação Consensual, Conversão em Divórcio e Inventário Negativo (Lei 11.441/07)</t>
  </si>
  <si>
    <t xml:space="preserve">a) União Estável (regime legal), Declaratória e Rerratificação </t>
  </si>
  <si>
    <t>c) União Estável (outros regimes); contrato de namoro</t>
  </si>
  <si>
    <t>2 - Procuração</t>
  </si>
  <si>
    <t>5 -Testamento Público</t>
  </si>
  <si>
    <t>item 1 ou</t>
  </si>
  <si>
    <t>9) Materialização de Documento Eletrônico - Por Página</t>
  </si>
  <si>
    <t xml:space="preserve">   Certidão</t>
  </si>
  <si>
    <t>Tabela 5.4 - Registro de Imóveis</t>
  </si>
  <si>
    <t>1a - Averbações sem valor econômico, cancelamento em geral</t>
  </si>
  <si>
    <t>6 - Certidão inteiro teor até 20 folhas, sem contar folha de rosto</t>
  </si>
  <si>
    <t>6.1 - Folha excedente (por folha)</t>
  </si>
  <si>
    <t xml:space="preserve">Tab 2 - Registro Civil das Pessoas Jurídicas </t>
  </si>
  <si>
    <t>9 - Certidão física de inteiro teor, por ato registrado, até 10 páginas</t>
  </si>
  <si>
    <t>9.1 - Por página excedente</t>
  </si>
  <si>
    <t>Tab 10 - Registro de Títulos e Documentos</t>
  </si>
  <si>
    <t>5 - Notificação</t>
  </si>
  <si>
    <t xml:space="preserve">13 - Certidão </t>
  </si>
  <si>
    <t>item 18</t>
  </si>
  <si>
    <t>Tab 9 - Protesto de Títulos</t>
  </si>
  <si>
    <t>Certidão de 5 anos</t>
  </si>
  <si>
    <t>Certidão de Inteiro Teor - 5 anos</t>
  </si>
  <si>
    <t>Cancelamento após 05/01/2023</t>
  </si>
  <si>
    <t>50% dos  Emolumentos Item 1</t>
  </si>
  <si>
    <t>Tab 4 - Distribuidor</t>
  </si>
  <si>
    <t>Emolumentos</t>
  </si>
  <si>
    <t>Lei nº 3217/99 - 20% para FETJ</t>
  </si>
  <si>
    <t>Atos Gratuitos - 2%</t>
  </si>
  <si>
    <t>Lei nº 4664/05 - 5% para o FUNDPERJ</t>
  </si>
  <si>
    <t>LC 111/06 -5% FUNPERJ</t>
  </si>
  <si>
    <t>Lei 6281/12 - 4% para a FUNARPEN</t>
  </si>
  <si>
    <t>Total</t>
  </si>
  <si>
    <t>Nome excedente</t>
  </si>
  <si>
    <t>Tabela 7 - Tabelionato de Notas (Tabela 22 - lei 6370)</t>
  </si>
  <si>
    <t>1.1 - Escritura de Instituição,Discriminação e Divisão de Condomínio (Até 10 unidades)</t>
  </si>
  <si>
    <t>- Valor Máximo - Mais de um bem - valor total a cobrar não pode ultrapassar</t>
  </si>
  <si>
    <t>a) Reconhecimento de Paternidade, Fins Previdenciários, União Estável, Declaratória e Rerratificação</t>
  </si>
  <si>
    <t>a) Renúncia de Usufruto - Ver item nº 1</t>
  </si>
  <si>
    <t>6 - Ata notarial sem conteúdo econômico (pela primeira folha)</t>
  </si>
  <si>
    <t>7) Ata Notarial com Conteudo Econômico</t>
  </si>
  <si>
    <t>d) Pela Escriura de Fomralização do Penhor Legal</t>
  </si>
  <si>
    <t>11) Reconhecimento para vins de AEV - Autorização Eletrônica de Viagem</t>
  </si>
  <si>
    <t xml:space="preserve">CERTIDÃO </t>
  </si>
  <si>
    <t>página com 30 linhas</t>
  </si>
  <si>
    <t>1.3 - Escrituras de Quitação e Rescisão (1/6 do item 1), mínimo de</t>
  </si>
  <si>
    <t xml:space="preserve">- Tabela nº 10 - Registro de Títulos e Documentos </t>
  </si>
  <si>
    <t xml:space="preserve">1 - Registro de Título, documento ou papel com </t>
  </si>
  <si>
    <t>valor declarado</t>
  </si>
  <si>
    <t xml:space="preserve">2  - Sem Valor Declarado (inclusive Atas) </t>
  </si>
  <si>
    <t>5 - Registro, por destinatário,  de Notificação, Interpelações, Intimações, Avisos, Denúncias e demais Atos de Participação ou ciência, incluida a certidão</t>
  </si>
  <si>
    <t>6 - Registro de Notificação, incluída a certidão da diligência e anotação à margem do registro prévio de instrumento de crédito, nas hipóteses de alienação fiduciária, arrendamento mercantil (leasing), compra e venda com reserva de domínio e penhor mercantil de bens móveis.</t>
  </si>
  <si>
    <t xml:space="preserve">16 - Certidão extraída de Título registrado, arquivado ou custodiado. </t>
  </si>
  <si>
    <r>
      <t xml:space="preserve">17 - Averbações e Cancelamentos - o valor dos emolumentos corresponde à </t>
    </r>
    <r>
      <rPr>
        <sz val="10"/>
        <color indexed="10"/>
        <rFont val="Arial"/>
        <family val="2"/>
      </rPr>
      <t>metade do valor integral dos emolumentos</t>
    </r>
    <r>
      <rPr>
        <sz val="10"/>
        <rFont val="Arial"/>
        <family val="2"/>
      </rPr>
      <t>. Exemplo: calcula-se o valor dos emolumentos, acrescendo-se o correspondente à PMCMV de 2%, e o resultado desta operação será reduzida à metade, adicionando-se, em seguida, os repasses legais.</t>
    </r>
  </si>
  <si>
    <t xml:space="preserve"> em diante</t>
  </si>
  <si>
    <t>Tab 2 - REGISTRO CIVIL DAS PESSOAS JURÍDICAS</t>
  </si>
  <si>
    <r>
      <t xml:space="preserve">1 - </t>
    </r>
    <r>
      <rPr>
        <u/>
        <sz val="11"/>
        <color indexed="10"/>
        <rFont val="Arial"/>
        <family val="2"/>
      </rPr>
      <t>Arquivamento</t>
    </r>
    <r>
      <rPr>
        <sz val="11"/>
        <rFont val="Arial"/>
        <family val="2"/>
      </rPr>
      <t xml:space="preserve"> de sociedade , atas, procurações, escrituras, decisões judiciais, ofícios, ofinicas impressoras, jornais e periódicos</t>
    </r>
  </si>
  <si>
    <r>
      <t xml:space="preserve">2 - </t>
    </r>
    <r>
      <rPr>
        <u/>
        <sz val="11"/>
        <color indexed="10"/>
        <rFont val="Arial"/>
        <family val="2"/>
      </rPr>
      <t>Averbações</t>
    </r>
    <r>
      <rPr>
        <sz val="11"/>
        <rFont val="Arial"/>
        <family val="2"/>
      </rPr>
      <t xml:space="preserve"> das modificações dos contratos sociais, estatutos iniciais e consolidação das associações, fundações, partidos políticos, sindicatos, igrejas ou qualquer outra entidade.</t>
    </r>
  </si>
  <si>
    <t>3 - Acréscimo com base em movimentação de capital (aumento, redução, cessão de quota, cisão, fusão e incorporação de patrimônio</t>
  </si>
  <si>
    <t>4 - Registro de livros físicos e em PDF a cada 200 páginas ou fração e digital a cada 1024Kb ou fração</t>
  </si>
  <si>
    <t>10.1 - Por página excedente</t>
  </si>
  <si>
    <t>16.1 - Por página excedente</t>
  </si>
  <si>
    <t>Cancelamento até 04/01/2023</t>
  </si>
  <si>
    <t>9- nt 12ª</t>
  </si>
  <si>
    <t>9.2</t>
  </si>
  <si>
    <t>Emissão de Guia</t>
  </si>
  <si>
    <t>1-5</t>
  </si>
  <si>
    <t>2xTb 4-10; 1xtb 1-1</t>
  </si>
  <si>
    <t>C. Inteiro teor 5 anos</t>
  </si>
  <si>
    <t xml:space="preserve">C. Inteiro teor 10 anos </t>
  </si>
  <si>
    <t>C. Específica 5 anos</t>
  </si>
  <si>
    <t>C. Específica 10 anos</t>
  </si>
  <si>
    <t>C. Ato de Cancelamento</t>
  </si>
  <si>
    <t>Monitoramento quanto  a
protocolização por devedor a cada dia</t>
  </si>
  <si>
    <t>Guarda digital facultiva de titulos ou documentos de dívida</t>
  </si>
  <si>
    <t>Tab. 5 - REGISTRO DE IMÓVEIS</t>
  </si>
  <si>
    <t>T O T A L</t>
  </si>
  <si>
    <r>
      <t xml:space="preserve">TABELA 5.1 (Tabela 20.1 - Lei 6370)
</t>
    </r>
    <r>
      <rPr>
        <b/>
        <sz val="11"/>
        <rFont val="Arial"/>
        <family val="2"/>
      </rPr>
      <t>Dos Ofícios e Atos do Registro de Imóveis.</t>
    </r>
  </si>
  <si>
    <t>COM VALOR DECLARADO (ESCRITURAS DO CARTORIO)</t>
  </si>
  <si>
    <t>COM VALOR DECLARADO (INST.PARTIC, TIT. JUDICIAL, ESC OUTRO MUNICIPIO) *</t>
  </si>
  <si>
    <t>COM VALOR DECLARADO (COM 50% - 1a. AQUISIÇÂO - SFH)</t>
  </si>
  <si>
    <t>COM VALOR DECLARADO (COM 50% - PMCMV) - 1 ato</t>
  </si>
  <si>
    <t>MEMORIAL DE INCORPORAÇÂO e INSTITUIÇÂO DE CONDOMINIO</t>
  </si>
  <si>
    <t xml:space="preserve">TABELA 5.3 (Tabela 20.3 - Lei 6370) </t>
  </si>
  <si>
    <t>AVERBAÇÂO COM CONTEÚDO ECONÔMICO</t>
  </si>
  <si>
    <t>Averbação com Conteúdo Econômico  (SE ESCRITURA DE OUTRO MUNICÍPIO)</t>
  </si>
  <si>
    <t xml:space="preserve">TABELA 5.4 (Tabela 20.4 - Lei 6370)  </t>
  </si>
  <si>
    <r>
      <t xml:space="preserve">1a,b - Averbações </t>
    </r>
    <r>
      <rPr>
        <b/>
        <sz val="11"/>
        <rFont val="Arial"/>
        <family val="2"/>
      </rPr>
      <t>sem conteúdo econômico</t>
    </r>
    <r>
      <rPr>
        <sz val="11"/>
        <rFont val="Arial"/>
        <family val="2"/>
      </rPr>
      <t xml:space="preserve">, </t>
    </r>
    <r>
      <rPr>
        <b/>
        <sz val="11"/>
        <color indexed="10"/>
        <rFont val="Arial"/>
        <family val="2"/>
      </rPr>
      <t>cancelamento de prenotação, cancelamento</t>
    </r>
    <r>
      <rPr>
        <sz val="11"/>
        <rFont val="Arial"/>
        <family val="2"/>
      </rPr>
      <t xml:space="preserve"> em geral</t>
    </r>
  </si>
  <si>
    <r>
      <t xml:space="preserve">1c - Averbações </t>
    </r>
    <r>
      <rPr>
        <b/>
        <sz val="11"/>
        <rFont val="Arial"/>
        <family val="2"/>
      </rPr>
      <t>sem conteúdo econômico</t>
    </r>
    <r>
      <rPr>
        <sz val="11"/>
        <rFont val="Arial"/>
        <family val="2"/>
      </rPr>
      <t>, (Escritura de outro Município)</t>
    </r>
  </si>
  <si>
    <t>a.3) expedição de edital -  hipótese do § 3º in fine do art. 213 da LRP</t>
  </si>
  <si>
    <r>
      <rPr>
        <b/>
        <sz val="11"/>
        <color indexed="10"/>
        <rFont val="Arial"/>
        <family val="2"/>
      </rPr>
      <t>11 - Apresentação de título para exame de legalidade</t>
    </r>
    <r>
      <rPr>
        <sz val="11"/>
        <rFont val="Arial"/>
        <family val="2"/>
      </rPr>
      <t xml:space="preserve"> ou cálculo de emolumentos sem prenotação</t>
    </r>
  </si>
  <si>
    <t>12 - Reconhecimento Extrajudicial de Usucapião</t>
  </si>
  <si>
    <t xml:space="preserve">Ver Tabela 5.1 ou 20.1 </t>
  </si>
  <si>
    <t>DEVOLUÇÂO CUSTAS:</t>
  </si>
  <si>
    <t>CERTIDÂO DA PRENOTAÇÃO</t>
  </si>
  <si>
    <t>+ CANC. PRENOTAÇÂO</t>
  </si>
  <si>
    <t>= EMOLUMENTOS =</t>
  </si>
  <si>
    <t>(+BIB + DISTRIBUIDOR + ETC)</t>
  </si>
  <si>
    <r>
      <rPr>
        <b/>
        <sz val="10"/>
        <rFont val="Arial"/>
        <family val="2"/>
      </rPr>
      <t xml:space="preserve">Obs. 4 </t>
    </r>
    <r>
      <rPr>
        <sz val="10"/>
        <rFont val="Arial"/>
        <family val="2"/>
      </rPr>
      <t xml:space="preserve">- Na circunscrição </t>
    </r>
    <r>
      <rPr>
        <b/>
        <sz val="10"/>
        <rFont val="Arial"/>
        <family val="2"/>
      </rPr>
      <t>onde houver  mais de um serviço</t>
    </r>
    <r>
      <rPr>
        <sz val="10"/>
        <rFont val="Arial"/>
        <family val="2"/>
      </rPr>
      <t xml:space="preserve"> de Títulos e Documentos, o </t>
    </r>
    <r>
      <rPr>
        <b/>
        <sz val="10"/>
        <rFont val="Arial"/>
        <family val="2"/>
      </rPr>
      <t>valor do distribuidor para Notificaões</t>
    </r>
    <r>
      <rPr>
        <sz val="10"/>
        <rFont val="Arial"/>
        <family val="2"/>
      </rPr>
      <t xml:space="preserve"> - Aplicar tab. 4 -item 5</t>
    </r>
  </si>
  <si>
    <r>
      <rPr>
        <b/>
        <sz val="10"/>
        <rFont val="Arial"/>
        <family val="2"/>
      </rPr>
      <t>Obs. 1</t>
    </r>
    <r>
      <rPr>
        <sz val="10"/>
        <rFont val="Arial"/>
        <family val="2"/>
      </rPr>
      <t xml:space="preserve">- </t>
    </r>
    <r>
      <rPr>
        <b/>
        <sz val="10"/>
        <rFont val="Arial"/>
        <family val="2"/>
      </rPr>
      <t xml:space="preserve">O registro e averbação de atos de filial e transferência de sede, </t>
    </r>
    <r>
      <rPr>
        <sz val="10"/>
        <rFont val="Arial"/>
        <family val="2"/>
      </rPr>
      <t>dispensa a emissão de certidões mas não evita a incidência do item 7. (N.INT. 3)</t>
    </r>
  </si>
  <si>
    <r>
      <t xml:space="preserve">Obs. 2 - </t>
    </r>
    <r>
      <rPr>
        <sz val="10"/>
        <rFont val="Arial"/>
        <family val="2"/>
      </rPr>
      <t xml:space="preserve">Todos os serviços serão realizados por integração digital obrigatória com a </t>
    </r>
    <r>
      <rPr>
        <b/>
        <sz val="10"/>
        <rFont val="Arial"/>
        <family val="2"/>
      </rPr>
      <t>central RCPJ e REDESIM</t>
    </r>
    <r>
      <rPr>
        <sz val="10"/>
        <rFont val="Arial"/>
        <family val="2"/>
      </rPr>
      <t>.</t>
    </r>
  </si>
  <si>
    <t>Lei 6.281/12 - 6% para a FUNARPEN</t>
  </si>
  <si>
    <t>6%     (6281/12)</t>
  </si>
  <si>
    <r>
      <t>- Valor Minimo -</t>
    </r>
    <r>
      <rPr>
        <sz val="11"/>
        <rFont val="Arial"/>
        <family val="2"/>
      </rPr>
      <t xml:space="preserve"> 1 bem até R$ 17.417,06</t>
    </r>
  </si>
  <si>
    <r>
      <t xml:space="preserve">TABELA DE CUSTAS PARA </t>
    </r>
    <r>
      <rPr>
        <b/>
        <sz val="10"/>
        <color indexed="10"/>
        <rFont val="Arial"/>
        <family val="2"/>
      </rPr>
      <t>2025</t>
    </r>
  </si>
  <si>
    <t>Acima de R$ 464.455,58  - A cada 116.113,88 (com incidência dos 2% da lei 6.370/2012 sobre o valor de )</t>
  </si>
  <si>
    <t>A cada 116.113,88 cobrar mais</t>
  </si>
  <si>
    <t>- Valor Minimo - 1 bem até R$ 17.417,06</t>
  </si>
  <si>
    <t>Obs.1 - A partir de 464.455,58, a cada 116.113,88, acrescentar</t>
  </si>
  <si>
    <t>(A cada 116.113,88, acrescentar...)</t>
  </si>
  <si>
    <t>Obs.1 - A partir de 1.161.138,94, a cada 116.113,88, acrescentar</t>
  </si>
  <si>
    <t>Acima de 10.450.250,50</t>
  </si>
  <si>
    <t>PORTARIA n.º 423/2025</t>
  </si>
  <si>
    <t>Acima de R$ 11.061.074,47</t>
  </si>
  <si>
    <t>Obs.1 - A partir de R$ 491.603,31, a cada R$ 122.900,81 (com incidência dos 2% da PMCMV) NI-1</t>
  </si>
  <si>
    <t>Obs.1 - A partir de R$ 1.229.008,26 a cada R$ 122.900,81 (com incidência dos 2% da lei 6.370/2012) cobrar</t>
  </si>
  <si>
    <t>NI-1 - A partir de R$ 491.603,31 a cada R$ 122.900,81 (com incidência dos 2% da lei 6.370/2012), cobrar</t>
  </si>
  <si>
    <t>Nota 19 - A partir de R$ 491.603,31, a cada R$ 122.900,81 (com incidência dos 2% da lei 6.370/2012) cobrar mais</t>
  </si>
  <si>
    <t xml:space="preserve"> 1xTb 1-1</t>
  </si>
  <si>
    <t>Tb,1-1</t>
  </si>
  <si>
    <t>Após 464.455,58 - A cada 116.113,88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</si>
</sst>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"/>
    <numFmt numFmtId="165" formatCode="_([$€-2]* #,##0.00_);_([$€-2]* \(#,##0.00\);_([$€-2]* &quot;-&quot;??_)"/>
    <numFmt numFmtId="166" formatCode="\-\-\-"/>
    <numFmt numFmtId="167" formatCode="&quot;R$&quot;\ #,##0.00"/>
    <numFmt numFmtId="168" formatCode="_(* #,##0.00_);_(* \(#,##0.00\);_(* &quot;-&quot;??_);_(@_)"/>
    <numFmt numFmtId="169" formatCode="\-\-\-\-"/>
    <numFmt numFmtId="170" formatCode="#,##0.0000"/>
  </numFmts>
  <fonts count="7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1"/>
      <name val="Arial"/>
      <family val="2"/>
    </font>
    <font>
      <b/>
      <u/>
      <sz val="11"/>
      <color indexed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1"/>
      <color indexed="10"/>
      <name val="Arial"/>
      <family val="2"/>
    </font>
    <font>
      <sz val="9"/>
      <color indexed="10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1"/>
      <color indexed="10"/>
      <name val="Arial"/>
      <family val="2"/>
    </font>
    <font>
      <b/>
      <sz val="9"/>
      <color rgb="FFFF000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9.5"/>
      <name val="Arial"/>
      <family val="2"/>
    </font>
    <font>
      <b/>
      <sz val="13"/>
      <name val="Arial"/>
      <family val="2"/>
    </font>
    <font>
      <b/>
      <sz val="9"/>
      <color indexed="8"/>
      <name val="Arial"/>
      <family val="2"/>
    </font>
    <font>
      <b/>
      <sz val="9"/>
      <name val="Calibri"/>
      <family val="2"/>
    </font>
    <font>
      <sz val="9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u/>
      <sz val="10"/>
      <color indexed="10"/>
      <name val="Arial"/>
      <family val="2"/>
    </font>
    <font>
      <u/>
      <sz val="10"/>
      <color rgb="FFFF0000"/>
      <name val="Arial"/>
      <family val="2"/>
    </font>
    <font>
      <sz val="10"/>
      <color rgb="FFC00000"/>
      <name val="Arial"/>
      <family val="2"/>
    </font>
    <font>
      <u/>
      <sz val="11"/>
      <color indexed="10"/>
      <name val="Arial"/>
      <family val="2"/>
    </font>
    <font>
      <u/>
      <sz val="11"/>
      <color rgb="FFFF0000"/>
      <name val="Arial"/>
      <family val="2"/>
    </font>
    <font>
      <b/>
      <u/>
      <sz val="9"/>
      <name val="Arial"/>
      <family val="2"/>
    </font>
    <font>
      <b/>
      <sz val="12"/>
      <color indexed="10"/>
      <name val="Arial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60"/>
      <name val="Calibri"/>
      <family val="2"/>
    </font>
    <font>
      <b/>
      <sz val="10"/>
      <color indexed="60"/>
      <name val="Calibri"/>
      <family val="2"/>
    </font>
    <font>
      <b/>
      <sz val="12"/>
      <color indexed="8"/>
      <name val="Calibri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6"/>
      <color indexed="10"/>
      <name val="Arial"/>
      <family val="2"/>
    </font>
    <font>
      <b/>
      <sz val="11"/>
      <color rgb="FFFF000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9"/>
      <color indexed="12"/>
      <name val="Arial"/>
      <family val="2"/>
    </font>
    <font>
      <b/>
      <sz val="8"/>
      <color indexed="12"/>
      <name val="Arial"/>
      <family val="2"/>
    </font>
    <font>
      <b/>
      <sz val="9"/>
      <color rgb="FF0430AC"/>
      <name val="Arial"/>
      <family val="2"/>
    </font>
    <font>
      <sz val="11"/>
      <color rgb="FFFF0000"/>
      <name val="Calibri"/>
      <family val="2"/>
      <scheme val="minor"/>
    </font>
    <font>
      <u/>
      <sz val="11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b/>
      <u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</font>
    <font>
      <sz val="9"/>
      <color rgb="FF000000"/>
      <name val="Arial"/>
      <family val="2"/>
    </font>
    <font>
      <sz val="14"/>
      <name val="Arial"/>
      <family val="2"/>
    </font>
    <font>
      <b/>
      <sz val="12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43" fontId="73" fillId="0" borderId="0" applyFont="0" applyFill="0" applyBorder="0" applyAlignment="0" applyProtection="0"/>
  </cellStyleXfs>
  <cellXfs count="1278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2" fontId="10" fillId="0" borderId="12" xfId="1" applyNumberFormat="1" applyFont="1" applyBorder="1" applyAlignment="1" applyProtection="1">
      <alignment horizontal="center" vertical="center"/>
      <protection hidden="1"/>
    </xf>
    <xf numFmtId="4" fontId="1" fillId="0" borderId="0" xfId="1" applyNumberFormat="1" applyAlignment="1" applyProtection="1">
      <alignment horizontal="center"/>
      <protection hidden="1"/>
    </xf>
    <xf numFmtId="0" fontId="1" fillId="0" borderId="19" xfId="1" applyBorder="1" applyAlignment="1" applyProtection="1">
      <alignment horizontal="center" vertical="justify" wrapText="1"/>
      <protection hidden="1"/>
    </xf>
    <xf numFmtId="0" fontId="8" fillId="0" borderId="20" xfId="1" applyFont="1" applyBorder="1" applyAlignment="1" applyProtection="1">
      <alignment vertical="justify" wrapText="1"/>
      <protection hidden="1"/>
    </xf>
    <xf numFmtId="0" fontId="2" fillId="0" borderId="0" xfId="1" applyFont="1" applyProtection="1"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/>
      <protection hidden="1"/>
    </xf>
    <xf numFmtId="16" fontId="2" fillId="0" borderId="12" xfId="1" quotePrefix="1" applyNumberFormat="1" applyFont="1" applyBorder="1" applyAlignment="1" applyProtection="1">
      <alignment horizontal="center" vertical="center" wrapText="1"/>
      <protection hidden="1"/>
    </xf>
    <xf numFmtId="9" fontId="16" fillId="0" borderId="8" xfId="1" applyNumberFormat="1" applyFont="1" applyBorder="1" applyAlignment="1" applyProtection="1">
      <alignment horizontal="center" vertical="center" wrapText="1"/>
      <protection hidden="1"/>
    </xf>
    <xf numFmtId="0" fontId="16" fillId="0" borderId="10" xfId="1" applyFont="1" applyBorder="1" applyAlignment="1" applyProtection="1">
      <alignment horizontal="center" vertical="center"/>
      <protection hidden="1"/>
    </xf>
    <xf numFmtId="0" fontId="16" fillId="0" borderId="16" xfId="1" applyFont="1" applyBorder="1" applyAlignment="1" applyProtection="1">
      <alignment horizontal="center" vertical="center"/>
      <protection hidden="1"/>
    </xf>
    <xf numFmtId="164" fontId="2" fillId="0" borderId="12" xfId="1" applyNumberFormat="1" applyFont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/>
      <protection hidden="1"/>
    </xf>
    <xf numFmtId="2" fontId="2" fillId="0" borderId="0" xfId="1" applyNumberFormat="1" applyFont="1" applyAlignment="1" applyProtection="1">
      <alignment horizontal="center" vertical="center"/>
      <protection hidden="1"/>
    </xf>
    <xf numFmtId="4" fontId="2" fillId="0" borderId="12" xfId="1" applyNumberFormat="1" applyFont="1" applyBorder="1" applyAlignment="1" applyProtection="1">
      <alignment horizontal="center" vertical="center"/>
      <protection hidden="1"/>
    </xf>
    <xf numFmtId="4" fontId="1" fillId="0" borderId="26" xfId="1" applyNumberFormat="1" applyBorder="1" applyAlignment="1" applyProtection="1">
      <alignment horizontal="center"/>
      <protection hidden="1"/>
    </xf>
    <xf numFmtId="4" fontId="1" fillId="0" borderId="0" xfId="1" applyNumberFormat="1" applyAlignment="1" applyProtection="1">
      <alignment horizontal="left"/>
      <protection hidden="1"/>
    </xf>
    <xf numFmtId="4" fontId="1" fillId="0" borderId="7" xfId="1" applyNumberFormat="1" applyBorder="1" applyAlignment="1" applyProtection="1">
      <alignment horizontal="center"/>
      <protection hidden="1"/>
    </xf>
    <xf numFmtId="4" fontId="1" fillId="0" borderId="7" xfId="1" applyNumberFormat="1" applyBorder="1" applyProtection="1">
      <protection hidden="1"/>
    </xf>
    <xf numFmtId="4" fontId="1" fillId="0" borderId="0" xfId="1" applyNumberFormat="1" applyProtection="1">
      <protection hidden="1"/>
    </xf>
    <xf numFmtId="164" fontId="2" fillId="0" borderId="7" xfId="1" applyNumberFormat="1" applyFont="1" applyBorder="1" applyAlignment="1" applyProtection="1">
      <alignment horizontal="center" vertical="center"/>
      <protection hidden="1"/>
    </xf>
    <xf numFmtId="2" fontId="19" fillId="0" borderId="7" xfId="1" applyNumberFormat="1" applyFont="1" applyBorder="1" applyAlignment="1" applyProtection="1">
      <alignment horizontal="center" vertical="center"/>
      <protection hidden="1"/>
    </xf>
    <xf numFmtId="0" fontId="1" fillId="0" borderId="7" xfId="1" applyBorder="1" applyProtection="1">
      <protection hidden="1"/>
    </xf>
    <xf numFmtId="0" fontId="1" fillId="0" borderId="7" xfId="1" applyBorder="1" applyAlignment="1" applyProtection="1">
      <alignment horizontal="center"/>
      <protection hidden="1"/>
    </xf>
    <xf numFmtId="4" fontId="2" fillId="0" borderId="10" xfId="1" applyNumberFormat="1" applyFont="1" applyBorder="1" applyAlignment="1" applyProtection="1">
      <alignment horizontal="center" vertical="center"/>
      <protection hidden="1"/>
    </xf>
    <xf numFmtId="166" fontId="18" fillId="2" borderId="7" xfId="1" applyNumberFormat="1" applyFont="1" applyFill="1" applyBorder="1" applyAlignment="1" applyProtection="1">
      <alignment horizontal="center" vertical="center"/>
      <protection hidden="1"/>
    </xf>
    <xf numFmtId="2" fontId="25" fillId="0" borderId="12" xfId="1" applyNumberFormat="1" applyFont="1" applyBorder="1" applyAlignment="1" applyProtection="1">
      <alignment horizontal="center" vertical="center"/>
      <protection hidden="1"/>
    </xf>
    <xf numFmtId="2" fontId="2" fillId="0" borderId="43" xfId="1" applyNumberFormat="1" applyFont="1" applyBorder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2" fontId="25" fillId="0" borderId="11" xfId="1" applyNumberFormat="1" applyFont="1" applyBorder="1" applyAlignment="1" applyProtection="1">
      <alignment horizontal="center" vertical="center"/>
      <protection hidden="1"/>
    </xf>
    <xf numFmtId="166" fontId="2" fillId="2" borderId="15" xfId="1" applyNumberFormat="1" applyFont="1" applyFill="1" applyBorder="1" applyAlignment="1" applyProtection="1">
      <alignment horizontal="center" vertical="center"/>
      <protection hidden="1"/>
    </xf>
    <xf numFmtId="2" fontId="1" fillId="0" borderId="44" xfId="1" quotePrefix="1" applyNumberFormat="1" applyBorder="1" applyAlignment="1" applyProtection="1">
      <alignment horizontal="center" vertical="center"/>
      <protection hidden="1"/>
    </xf>
    <xf numFmtId="2" fontId="7" fillId="0" borderId="44" xfId="1" applyNumberFormat="1" applyFont="1" applyBorder="1" applyAlignment="1" applyProtection="1">
      <alignment horizontal="center" vertical="center"/>
      <protection hidden="1"/>
    </xf>
    <xf numFmtId="2" fontId="3" fillId="0" borderId="45" xfId="1" quotePrefix="1" applyNumberFormat="1" applyFont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horizontal="center" vertical="center" wrapText="1"/>
      <protection hidden="1"/>
    </xf>
    <xf numFmtId="2" fontId="7" fillId="0" borderId="0" xfId="1" quotePrefix="1" applyNumberFormat="1" applyFont="1" applyAlignment="1" applyProtection="1">
      <alignment horizontal="center" vertical="center"/>
      <protection hidden="1"/>
    </xf>
    <xf numFmtId="2" fontId="26" fillId="0" borderId="0" xfId="1" quotePrefix="1" applyNumberFormat="1" applyFont="1" applyAlignment="1" applyProtection="1">
      <alignment horizontal="center" vertical="center"/>
      <protection hidden="1"/>
    </xf>
    <xf numFmtId="2" fontId="7" fillId="0" borderId="0" xfId="1" applyNumberFormat="1" applyFont="1" applyAlignment="1" applyProtection="1">
      <alignment horizontal="center" vertical="center"/>
      <protection hidden="1"/>
    </xf>
    <xf numFmtId="2" fontId="10" fillId="0" borderId="0" xfId="1" quotePrefix="1" applyNumberFormat="1" applyFont="1" applyAlignment="1" applyProtection="1">
      <alignment horizontal="center" vertical="center"/>
      <protection hidden="1"/>
    </xf>
    <xf numFmtId="2" fontId="7" fillId="0" borderId="0" xfId="1" quotePrefix="1" applyNumberFormat="1" applyFont="1" applyAlignment="1" applyProtection="1">
      <alignment horizontal="left" vertical="center"/>
      <protection hidden="1"/>
    </xf>
    <xf numFmtId="4" fontId="2" fillId="0" borderId="24" xfId="1" applyNumberFormat="1" applyFont="1" applyBorder="1" applyAlignment="1" applyProtection="1">
      <alignment horizontal="center" vertical="center"/>
      <protection hidden="1"/>
    </xf>
    <xf numFmtId="0" fontId="28" fillId="0" borderId="23" xfId="1" applyFont="1" applyBorder="1" applyProtection="1">
      <protection hidden="1"/>
    </xf>
    <xf numFmtId="0" fontId="28" fillId="0" borderId="24" xfId="1" applyFont="1" applyBorder="1" applyProtection="1">
      <protection hidden="1"/>
    </xf>
    <xf numFmtId="0" fontId="2" fillId="0" borderId="24" xfId="1" applyFont="1" applyBorder="1" applyProtection="1">
      <protection hidden="1"/>
    </xf>
    <xf numFmtId="0" fontId="2" fillId="0" borderId="23" xfId="1" applyFont="1" applyBorder="1" applyProtection="1">
      <protection hidden="1"/>
    </xf>
    <xf numFmtId="167" fontId="14" fillId="0" borderId="24" xfId="1" applyNumberFormat="1" applyFont="1" applyBorder="1" applyProtection="1">
      <protection hidden="1"/>
    </xf>
    <xf numFmtId="0" fontId="1" fillId="0" borderId="0" xfId="1" applyAlignment="1" applyProtection="1">
      <alignment horizontal="left" vertical="center"/>
      <protection hidden="1"/>
    </xf>
    <xf numFmtId="0" fontId="16" fillId="0" borderId="12" xfId="1" applyFont="1" applyBorder="1" applyAlignment="1" applyProtection="1">
      <alignment horizontal="center" vertical="center"/>
      <protection hidden="1"/>
    </xf>
    <xf numFmtId="0" fontId="27" fillId="0" borderId="19" xfId="1" applyFont="1" applyBorder="1" applyAlignment="1" applyProtection="1">
      <alignment horizontal="center" vertical="justify" wrapText="1"/>
      <protection hidden="1"/>
    </xf>
    <xf numFmtId="4" fontId="1" fillId="0" borderId="19" xfId="1" applyNumberFormat="1" applyBorder="1" applyAlignment="1" applyProtection="1">
      <alignment horizontal="center" vertical="justify" wrapText="1"/>
      <protection hidden="1"/>
    </xf>
    <xf numFmtId="4" fontId="14" fillId="0" borderId="12" xfId="1" applyNumberFormat="1" applyFont="1" applyBorder="1" applyAlignment="1" applyProtection="1">
      <alignment horizontal="center" vertical="center"/>
      <protection hidden="1"/>
    </xf>
    <xf numFmtId="4" fontId="32" fillId="0" borderId="0" xfId="1" applyNumberFormat="1" applyFont="1" applyAlignment="1" applyProtection="1">
      <alignment horizontal="center" vertical="center"/>
      <protection hidden="1"/>
    </xf>
    <xf numFmtId="4" fontId="1" fillId="0" borderId="19" xfId="1" applyNumberFormat="1" applyBorder="1" applyAlignment="1" applyProtection="1">
      <alignment horizontal="center"/>
      <protection hidden="1"/>
    </xf>
    <xf numFmtId="4" fontId="25" fillId="0" borderId="21" xfId="1" applyNumberFormat="1" applyFont="1" applyBorder="1" applyAlignment="1" applyProtection="1">
      <alignment horizontal="right" vertical="center"/>
      <protection hidden="1"/>
    </xf>
    <xf numFmtId="4" fontId="25" fillId="0" borderId="12" xfId="1" applyNumberFormat="1" applyFont="1" applyBorder="1" applyAlignment="1" applyProtection="1">
      <alignment horizontal="center" vertical="center"/>
      <protection hidden="1"/>
    </xf>
    <xf numFmtId="43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4" fontId="1" fillId="0" borderId="19" xfId="1" applyNumberFormat="1" applyBorder="1" applyAlignment="1" applyProtection="1">
      <alignment horizontal="left"/>
      <protection hidden="1"/>
    </xf>
    <xf numFmtId="4" fontId="2" fillId="0" borderId="0" xfId="1" quotePrefix="1" applyNumberFormat="1" applyFont="1" applyAlignment="1" applyProtection="1">
      <alignment horizontal="center" vertical="center"/>
      <protection hidden="1"/>
    </xf>
    <xf numFmtId="4" fontId="8" fillId="0" borderId="19" xfId="1" applyNumberFormat="1" applyFont="1" applyBorder="1" applyAlignment="1" applyProtection="1">
      <alignment horizontal="left"/>
      <protection hidden="1"/>
    </xf>
    <xf numFmtId="0" fontId="39" fillId="0" borderId="0" xfId="1" applyFont="1" applyAlignment="1" applyProtection="1">
      <alignment horizontal="center"/>
      <protection hidden="1"/>
    </xf>
    <xf numFmtId="4" fontId="37" fillId="0" borderId="19" xfId="1" applyNumberFormat="1" applyFont="1" applyBorder="1" applyAlignment="1" applyProtection="1">
      <alignment horizontal="left" vertical="center"/>
      <protection hidden="1"/>
    </xf>
    <xf numFmtId="4" fontId="41" fillId="0" borderId="19" xfId="1" applyNumberFormat="1" applyFont="1" applyBorder="1" applyAlignment="1" applyProtection="1">
      <alignment horizontal="left"/>
      <protection hidden="1"/>
    </xf>
    <xf numFmtId="2" fontId="14" fillId="0" borderId="12" xfId="1" applyNumberFormat="1" applyFont="1" applyBorder="1" applyAlignment="1" applyProtection="1">
      <alignment horizontal="center" vertical="center"/>
      <protection hidden="1"/>
    </xf>
    <xf numFmtId="9" fontId="14" fillId="0" borderId="12" xfId="1" applyNumberFormat="1" applyFont="1" applyBorder="1" applyAlignment="1" applyProtection="1">
      <alignment horizontal="center" vertical="center"/>
      <protection hidden="1"/>
    </xf>
    <xf numFmtId="0" fontId="14" fillId="0" borderId="23" xfId="1" applyFont="1" applyBorder="1" applyAlignment="1" applyProtection="1">
      <alignment horizontal="center" vertical="center"/>
      <protection hidden="1"/>
    </xf>
    <xf numFmtId="0" fontId="14" fillId="0" borderId="47" xfId="1" applyFont="1" applyBorder="1" applyAlignment="1" applyProtection="1">
      <alignment horizontal="center" vertical="center"/>
      <protection hidden="1"/>
    </xf>
    <xf numFmtId="2" fontId="14" fillId="0" borderId="12" xfId="3" applyNumberFormat="1" applyFont="1" applyBorder="1" applyAlignment="1" applyProtection="1">
      <alignment horizontal="center" vertical="center"/>
      <protection hidden="1"/>
    </xf>
    <xf numFmtId="4" fontId="2" fillId="0" borderId="29" xfId="1" applyNumberFormat="1" applyFont="1" applyBorder="1" applyAlignment="1" applyProtection="1">
      <alignment horizontal="center" vertical="center"/>
      <protection hidden="1"/>
    </xf>
    <xf numFmtId="0" fontId="1" fillId="0" borderId="21" xfId="1" applyBorder="1" applyProtection="1">
      <protection hidden="1"/>
    </xf>
    <xf numFmtId="0" fontId="10" fillId="0" borderId="0" xfId="1" applyFont="1" applyProtection="1">
      <protection hidden="1"/>
    </xf>
    <xf numFmtId="0" fontId="2" fillId="0" borderId="0" xfId="1" applyFont="1" applyAlignment="1" applyProtection="1">
      <alignment horizontal="left" vertical="center"/>
      <protection hidden="1"/>
    </xf>
    <xf numFmtId="9" fontId="16" fillId="0" borderId="50" xfId="1" applyNumberFormat="1" applyFont="1" applyBorder="1" applyAlignment="1" applyProtection="1">
      <alignment horizontal="center" vertical="center" wrapText="1"/>
      <protection hidden="1"/>
    </xf>
    <xf numFmtId="0" fontId="42" fillId="0" borderId="19" xfId="1" applyFont="1" applyBorder="1" applyAlignment="1" applyProtection="1">
      <alignment horizontal="center" vertical="justify" wrapText="1"/>
      <protection hidden="1"/>
    </xf>
    <xf numFmtId="0" fontId="35" fillId="0" borderId="20" xfId="1" applyFont="1" applyBorder="1" applyAlignment="1" applyProtection="1">
      <alignment vertical="justify" wrapText="1"/>
      <protection hidden="1"/>
    </xf>
    <xf numFmtId="4" fontId="2" fillId="0" borderId="19" xfId="1" applyNumberFormat="1" applyFont="1" applyBorder="1" applyAlignment="1" applyProtection="1">
      <alignment horizontal="center" vertical="justify" wrapText="1"/>
      <protection hidden="1"/>
    </xf>
    <xf numFmtId="4" fontId="2" fillId="5" borderId="19" xfId="1" applyNumberFormat="1" applyFont="1" applyFill="1" applyBorder="1" applyAlignment="1" applyProtection="1">
      <alignment horizontal="center" vertical="justify" wrapText="1"/>
      <protection hidden="1"/>
    </xf>
    <xf numFmtId="4" fontId="14" fillId="6" borderId="12" xfId="1" applyNumberFormat="1" applyFont="1" applyFill="1" applyBorder="1" applyAlignment="1" applyProtection="1">
      <alignment horizontal="center" vertical="center"/>
      <protection hidden="1"/>
    </xf>
    <xf numFmtId="4" fontId="14" fillId="6" borderId="23" xfId="1" applyNumberFormat="1" applyFont="1" applyFill="1" applyBorder="1" applyAlignment="1" applyProtection="1">
      <alignment horizontal="center" vertical="center"/>
      <protection hidden="1"/>
    </xf>
    <xf numFmtId="4" fontId="14" fillId="6" borderId="47" xfId="1" applyNumberFormat="1" applyFont="1" applyFill="1" applyBorder="1" applyAlignment="1" applyProtection="1">
      <alignment horizontal="center" vertical="center"/>
      <protection hidden="1"/>
    </xf>
    <xf numFmtId="4" fontId="1" fillId="0" borderId="24" xfId="1" applyNumberFormat="1" applyBorder="1" applyAlignment="1" applyProtection="1">
      <alignment horizontal="center" vertical="center"/>
      <protection hidden="1"/>
    </xf>
    <xf numFmtId="169" fontId="1" fillId="0" borderId="24" xfId="1" applyNumberFormat="1" applyBorder="1" applyAlignment="1" applyProtection="1">
      <alignment horizontal="center" vertical="center"/>
      <protection hidden="1"/>
    </xf>
    <xf numFmtId="4" fontId="35" fillId="0" borderId="19" xfId="1" applyNumberFormat="1" applyFont="1" applyBorder="1" applyAlignment="1" applyProtection="1">
      <alignment horizontal="center"/>
      <protection hidden="1"/>
    </xf>
    <xf numFmtId="2" fontId="14" fillId="0" borderId="52" xfId="1" applyNumberFormat="1" applyFont="1" applyBorder="1" applyAlignment="1" applyProtection="1">
      <alignment horizontal="right" vertical="center"/>
      <protection hidden="1"/>
    </xf>
    <xf numFmtId="4" fontId="10" fillId="0" borderId="53" xfId="1" applyNumberFormat="1" applyFont="1" applyBorder="1" applyAlignment="1" applyProtection="1">
      <alignment horizontal="center" vertical="center"/>
      <protection hidden="1"/>
    </xf>
    <xf numFmtId="4" fontId="1" fillId="0" borderId="29" xfId="1" applyNumberFormat="1" applyBorder="1" applyAlignment="1" applyProtection="1">
      <alignment horizontal="center" vertical="center"/>
      <protection hidden="1"/>
    </xf>
    <xf numFmtId="169" fontId="1" fillId="0" borderId="29" xfId="1" applyNumberFormat="1" applyBorder="1" applyAlignment="1" applyProtection="1">
      <alignment horizontal="center" vertical="center"/>
      <protection hidden="1"/>
    </xf>
    <xf numFmtId="168" fontId="10" fillId="0" borderId="54" xfId="3" applyFont="1" applyBorder="1" applyAlignment="1" applyProtection="1">
      <alignment horizontal="right" vertical="center"/>
      <protection hidden="1"/>
    </xf>
    <xf numFmtId="0" fontId="1" fillId="0" borderId="15" xfId="1" applyBorder="1" applyProtection="1">
      <protection hidden="1"/>
    </xf>
    <xf numFmtId="0" fontId="3" fillId="0" borderId="15" xfId="1" applyFont="1" applyBorder="1" applyAlignment="1" applyProtection="1">
      <alignment horizontal="center"/>
      <protection hidden="1"/>
    </xf>
    <xf numFmtId="0" fontId="1" fillId="0" borderId="16" xfId="1" applyBorder="1" applyProtection="1">
      <protection hidden="1"/>
    </xf>
    <xf numFmtId="0" fontId="1" fillId="0" borderId="23" xfId="1" applyBorder="1" applyProtection="1">
      <protection hidden="1"/>
    </xf>
    <xf numFmtId="168" fontId="0" fillId="0" borderId="0" xfId="3" applyFont="1" applyProtection="1">
      <protection hidden="1"/>
    </xf>
    <xf numFmtId="0" fontId="1" fillId="0" borderId="0" xfId="1" applyAlignment="1" applyProtection="1">
      <alignment horizontal="left"/>
      <protection hidden="1"/>
    </xf>
    <xf numFmtId="0" fontId="1" fillId="0" borderId="20" xfId="1" applyBorder="1" applyProtection="1">
      <protection hidden="1"/>
    </xf>
    <xf numFmtId="0" fontId="1" fillId="0" borderId="0" xfId="1" applyAlignment="1" applyProtection="1">
      <alignment horizontal="center" vertical="center"/>
      <protection hidden="1"/>
    </xf>
    <xf numFmtId="0" fontId="4" fillId="0" borderId="0" xfId="1" applyFont="1" applyProtection="1">
      <protection hidden="1"/>
    </xf>
    <xf numFmtId="0" fontId="1" fillId="0" borderId="0" xfId="1" applyAlignment="1" applyProtection="1">
      <alignment horizontal="center" vertical="center" wrapText="1"/>
      <protection hidden="1"/>
    </xf>
    <xf numFmtId="4" fontId="46" fillId="0" borderId="0" xfId="1" applyNumberFormat="1" applyFont="1" applyAlignment="1" applyProtection="1">
      <alignment horizontal="center"/>
      <protection hidden="1"/>
    </xf>
    <xf numFmtId="4" fontId="1" fillId="0" borderId="43" xfId="1" applyNumberFormat="1" applyBorder="1" applyAlignment="1" applyProtection="1">
      <alignment horizontal="center"/>
      <protection hidden="1"/>
    </xf>
    <xf numFmtId="4" fontId="47" fillId="0" borderId="0" xfId="1" applyNumberFormat="1" applyFont="1" applyAlignment="1" applyProtection="1">
      <alignment horizontal="center"/>
      <protection hidden="1"/>
    </xf>
    <xf numFmtId="4" fontId="4" fillId="0" borderId="0" xfId="1" applyNumberFormat="1" applyFont="1" applyAlignment="1" applyProtection="1">
      <alignment horizontal="center"/>
      <protection hidden="1"/>
    </xf>
    <xf numFmtId="4" fontId="48" fillId="0" borderId="0" xfId="1" applyNumberFormat="1" applyFont="1" applyAlignment="1" applyProtection="1">
      <alignment horizontal="left"/>
      <protection hidden="1"/>
    </xf>
    <xf numFmtId="2" fontId="2" fillId="0" borderId="12" xfId="1" applyNumberFormat="1" applyFont="1" applyBorder="1" applyAlignment="1" applyProtection="1">
      <alignment horizontal="center" vertical="center"/>
      <protection hidden="1"/>
    </xf>
    <xf numFmtId="4" fontId="2" fillId="0" borderId="0" xfId="1" applyNumberFormat="1" applyFont="1" applyAlignment="1" applyProtection="1">
      <alignment horizontal="center" vertical="center"/>
      <protection hidden="1"/>
    </xf>
    <xf numFmtId="2" fontId="7" fillId="0" borderId="0" xfId="1" applyNumberFormat="1" applyFont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left" vertical="center"/>
      <protection hidden="1"/>
    </xf>
    <xf numFmtId="2" fontId="2" fillId="0" borderId="0" xfId="1" applyNumberFormat="1" applyFont="1" applyAlignment="1" applyProtection="1">
      <alignment horizontal="center" vertical="center" wrapText="1"/>
      <protection hidden="1"/>
    </xf>
    <xf numFmtId="164" fontId="2" fillId="0" borderId="0" xfId="1" applyNumberFormat="1" applyFont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horizontal="center" vertical="justify" wrapText="1"/>
      <protection hidden="1"/>
    </xf>
    <xf numFmtId="4" fontId="2" fillId="0" borderId="0" xfId="1" applyNumberFormat="1" applyFont="1" applyAlignment="1" applyProtection="1">
      <alignment horizontal="center" vertical="justify" wrapText="1"/>
      <protection hidden="1"/>
    </xf>
    <xf numFmtId="166" fontId="18" fillId="2" borderId="0" xfId="1" applyNumberFormat="1" applyFont="1" applyFill="1" applyAlignment="1" applyProtection="1">
      <alignment horizontal="center" vertical="center"/>
      <protection hidden="1"/>
    </xf>
    <xf numFmtId="4" fontId="2" fillId="0" borderId="0" xfId="1" applyNumberFormat="1" applyFont="1" applyAlignment="1" applyProtection="1">
      <alignment horizontal="center"/>
      <protection hidden="1"/>
    </xf>
    <xf numFmtId="2" fontId="19" fillId="0" borderId="0" xfId="1" applyNumberFormat="1" applyFont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center" vertical="justify" wrapText="1"/>
      <protection hidden="1"/>
    </xf>
    <xf numFmtId="2" fontId="21" fillId="0" borderId="0" xfId="1" applyNumberFormat="1" applyFont="1" applyAlignment="1" applyProtection="1">
      <alignment horizontal="center" vertical="center"/>
      <protection hidden="1"/>
    </xf>
    <xf numFmtId="4" fontId="10" fillId="0" borderId="43" xfId="1" applyNumberFormat="1" applyFont="1" applyBorder="1" applyAlignment="1" applyProtection="1">
      <alignment horizontal="center"/>
      <protection hidden="1"/>
    </xf>
    <xf numFmtId="4" fontId="1" fillId="0" borderId="17" xfId="1" applyNumberFormat="1" applyBorder="1" applyAlignment="1" applyProtection="1">
      <alignment horizontal="center"/>
      <protection hidden="1"/>
    </xf>
    <xf numFmtId="4" fontId="1" fillId="0" borderId="10" xfId="1" applyNumberFormat="1" applyBorder="1" applyAlignment="1" applyProtection="1">
      <alignment horizontal="center"/>
      <protection hidden="1"/>
    </xf>
    <xf numFmtId="4" fontId="1" fillId="0" borderId="0" xfId="1" quotePrefix="1" applyNumberFormat="1" applyAlignment="1" applyProtection="1">
      <alignment horizontal="center"/>
      <protection hidden="1"/>
    </xf>
    <xf numFmtId="4" fontId="10" fillId="0" borderId="0" xfId="1" applyNumberFormat="1" applyFont="1" applyAlignment="1" applyProtection="1">
      <alignment horizontal="center"/>
      <protection hidden="1"/>
    </xf>
    <xf numFmtId="0" fontId="28" fillId="0" borderId="23" xfId="1" applyFont="1" applyBorder="1" applyAlignment="1" applyProtection="1">
      <alignment horizontal="left"/>
      <protection hidden="1"/>
    </xf>
    <xf numFmtId="0" fontId="28" fillId="0" borderId="24" xfId="1" applyFont="1" applyBorder="1" applyAlignment="1" applyProtection="1">
      <alignment horizontal="left"/>
      <protection hidden="1"/>
    </xf>
    <xf numFmtId="0" fontId="28" fillId="0" borderId="25" xfId="1" applyFont="1" applyBorder="1" applyAlignment="1" applyProtection="1">
      <alignment horizontal="left"/>
      <protection hidden="1"/>
    </xf>
    <xf numFmtId="0" fontId="2" fillId="0" borderId="24" xfId="1" applyFont="1" applyBorder="1" applyAlignment="1" applyProtection="1">
      <alignment horizontal="left" vertical="center" wrapText="1"/>
      <protection hidden="1"/>
    </xf>
    <xf numFmtId="0" fontId="28" fillId="0" borderId="24" xfId="1" applyFont="1" applyBorder="1" applyAlignment="1" applyProtection="1">
      <alignment horizontal="left" vertical="center" wrapText="1"/>
      <protection hidden="1"/>
    </xf>
    <xf numFmtId="0" fontId="2" fillId="0" borderId="23" xfId="1" applyFont="1" applyBorder="1" applyAlignment="1" applyProtection="1">
      <alignment horizontal="left"/>
      <protection hidden="1"/>
    </xf>
    <xf numFmtId="0" fontId="2" fillId="0" borderId="24" xfId="1" applyFont="1" applyBorder="1" applyAlignment="1" applyProtection="1">
      <alignment horizontal="left"/>
      <protection hidden="1"/>
    </xf>
    <xf numFmtId="0" fontId="2" fillId="0" borderId="25" xfId="1" applyFont="1" applyBorder="1" applyAlignment="1" applyProtection="1">
      <alignment horizontal="left"/>
      <protection hidden="1"/>
    </xf>
    <xf numFmtId="4" fontId="2" fillId="0" borderId="7" xfId="1" applyNumberFormat="1" applyFont="1" applyBorder="1" applyAlignment="1" applyProtection="1">
      <alignment horizontal="center" vertical="center"/>
      <protection hidden="1"/>
    </xf>
    <xf numFmtId="2" fontId="2" fillId="0" borderId="10" xfId="1" applyNumberFormat="1" applyFont="1" applyBorder="1" applyAlignment="1" applyProtection="1">
      <alignment horizontal="center" vertical="center"/>
      <protection hidden="1"/>
    </xf>
    <xf numFmtId="166" fontId="2" fillId="2" borderId="0" xfId="1" applyNumberFormat="1" applyFont="1" applyFill="1" applyAlignment="1" applyProtection="1">
      <alignment horizontal="center" vertical="center"/>
      <protection hidden="1"/>
    </xf>
    <xf numFmtId="0" fontId="20" fillId="0" borderId="29" xfId="1" applyFont="1" applyBorder="1" applyAlignment="1" applyProtection="1">
      <alignment horizontal="center" vertical="justify" wrapText="1"/>
      <protection hidden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2" fontId="8" fillId="0" borderId="12" xfId="0" applyNumberFormat="1" applyFont="1" applyBorder="1" applyAlignment="1">
      <alignment vertical="center"/>
    </xf>
    <xf numFmtId="9" fontId="8" fillId="0" borderId="12" xfId="0" applyNumberFormat="1" applyFont="1" applyBorder="1" applyAlignment="1">
      <alignment vertical="center"/>
    </xf>
    <xf numFmtId="0" fontId="8" fillId="0" borderId="0" xfId="0" applyFont="1" applyAlignment="1">
      <alignment horizontal="center" vertical="justify" wrapText="1"/>
    </xf>
    <xf numFmtId="164" fontId="8" fillId="0" borderId="0" xfId="0" applyNumberFormat="1" applyFont="1" applyAlignment="1">
      <alignment vertical="center"/>
    </xf>
    <xf numFmtId="164" fontId="8" fillId="0" borderId="10" xfId="0" applyNumberFormat="1" applyFont="1" applyBorder="1" applyAlignment="1">
      <alignment vertical="center"/>
    </xf>
    <xf numFmtId="2" fontId="3" fillId="0" borderId="12" xfId="0" applyNumberFormat="1" applyFont="1" applyBorder="1" applyAlignment="1">
      <alignment vertical="center"/>
    </xf>
    <xf numFmtId="4" fontId="8" fillId="0" borderId="20" xfId="0" applyNumberFormat="1" applyFont="1" applyBorder="1" applyAlignment="1">
      <alignment horizontal="center" vertical="justify" wrapText="1"/>
    </xf>
    <xf numFmtId="0" fontId="8" fillId="0" borderId="0" xfId="0" applyFont="1" applyAlignment="1">
      <alignment vertical="justify" wrapText="1"/>
    </xf>
    <xf numFmtId="0" fontId="8" fillId="0" borderId="20" xfId="0" applyFont="1" applyBorder="1" applyAlignment="1">
      <alignment horizontal="center" vertical="justify" wrapText="1"/>
    </xf>
    <xf numFmtId="0" fontId="50" fillId="0" borderId="0" xfId="0" applyFont="1" applyAlignment="1">
      <alignment horizontal="center" vertical="justify" wrapText="1"/>
    </xf>
    <xf numFmtId="0" fontId="8" fillId="0" borderId="0" xfId="0" applyFont="1" applyAlignment="1">
      <alignment horizontal="left" vertical="justify" wrapText="1"/>
    </xf>
    <xf numFmtId="164" fontId="8" fillId="0" borderId="12" xfId="0" applyNumberFormat="1" applyFont="1" applyBorder="1" applyAlignment="1">
      <alignment vertical="center"/>
    </xf>
    <xf numFmtId="0" fontId="12" fillId="0" borderId="0" xfId="0" applyFont="1" applyAlignment="1">
      <alignment horizontal="center" vertical="justify" wrapText="1"/>
    </xf>
    <xf numFmtId="0" fontId="12" fillId="0" borderId="20" xfId="0" applyFont="1" applyBorder="1" applyAlignment="1">
      <alignment horizontal="center" vertical="justify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justify" wrapText="1"/>
    </xf>
    <xf numFmtId="4" fontId="1" fillId="0" borderId="0" xfId="0" applyNumberFormat="1" applyFont="1" applyAlignment="1">
      <alignment horizontal="center"/>
    </xf>
    <xf numFmtId="4" fontId="1" fillId="0" borderId="20" xfId="0" applyNumberFormat="1" applyFont="1" applyBorder="1" applyAlignment="1">
      <alignment horizontal="center"/>
    </xf>
    <xf numFmtId="4" fontId="8" fillId="0" borderId="12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4" fontId="1" fillId="0" borderId="0" xfId="0" applyNumberFormat="1" applyFont="1" applyAlignment="1">
      <alignment horizontal="left"/>
    </xf>
    <xf numFmtId="0" fontId="2" fillId="0" borderId="0" xfId="0" applyFont="1"/>
    <xf numFmtId="4" fontId="2" fillId="0" borderId="0" xfId="0" applyNumberFormat="1" applyFont="1" applyAlignment="1">
      <alignment horizontal="left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justify" wrapText="1"/>
    </xf>
    <xf numFmtId="4" fontId="1" fillId="0" borderId="20" xfId="0" applyNumberFormat="1" applyFont="1" applyBorder="1" applyAlignment="1">
      <alignment horizontal="left"/>
    </xf>
    <xf numFmtId="4" fontId="34" fillId="3" borderId="12" xfId="0" applyNumberFormat="1" applyFont="1" applyFill="1" applyBorder="1" applyAlignment="1">
      <alignment vertic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left"/>
    </xf>
    <xf numFmtId="4" fontId="0" fillId="0" borderId="20" xfId="0" applyNumberFormat="1" applyBorder="1" applyAlignment="1">
      <alignment horizontal="left"/>
    </xf>
    <xf numFmtId="2" fontId="17" fillId="0" borderId="12" xfId="0" applyNumberFormat="1" applyFont="1" applyBorder="1" applyAlignment="1">
      <alignment vertical="center"/>
    </xf>
    <xf numFmtId="4" fontId="53" fillId="0" borderId="12" xfId="0" applyNumberFormat="1" applyFont="1" applyBorder="1" applyAlignment="1">
      <alignment vertical="center"/>
    </xf>
    <xf numFmtId="2" fontId="8" fillId="0" borderId="10" xfId="0" applyNumberFormat="1" applyFont="1" applyBorder="1" applyAlignment="1">
      <alignment vertical="center"/>
    </xf>
    <xf numFmtId="2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8" fillId="0" borderId="12" xfId="0" applyNumberFormat="1" applyFont="1" applyBorder="1" applyAlignment="1">
      <alignment vertical="center" wrapText="1"/>
    </xf>
    <xf numFmtId="2" fontId="34" fillId="0" borderId="0" xfId="0" applyNumberFormat="1" applyFont="1" applyAlignment="1">
      <alignment vertical="center" wrapText="1"/>
    </xf>
    <xf numFmtId="2" fontId="25" fillId="0" borderId="0" xfId="0" applyNumberFormat="1" applyFont="1" applyAlignment="1">
      <alignment horizontal="center" vertical="center" wrapText="1"/>
    </xf>
    <xf numFmtId="2" fontId="3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justify"/>
    </xf>
    <xf numFmtId="0" fontId="14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justify" wrapText="1"/>
    </xf>
    <xf numFmtId="4" fontId="8" fillId="0" borderId="0" xfId="0" applyNumberFormat="1" applyFont="1" applyAlignment="1">
      <alignment horizontal="center"/>
    </xf>
    <xf numFmtId="4" fontId="8" fillId="0" borderId="20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vertical="center"/>
    </xf>
    <xf numFmtId="4" fontId="10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4" fontId="3" fillId="0" borderId="0" xfId="0" quotePrefix="1" applyNumberFormat="1" applyFont="1" applyAlignment="1">
      <alignment horizontal="left"/>
    </xf>
    <xf numFmtId="4" fontId="17" fillId="3" borderId="12" xfId="0" applyNumberFormat="1" applyFont="1" applyFill="1" applyBorder="1" applyAlignment="1">
      <alignment vertical="center"/>
    </xf>
    <xf numFmtId="4" fontId="8" fillId="0" borderId="0" xfId="0" applyNumberFormat="1" applyFont="1" applyAlignment="1">
      <alignment horizontal="left"/>
    </xf>
    <xf numFmtId="4" fontId="8" fillId="0" borderId="0" xfId="0" applyNumberFormat="1" applyFont="1"/>
    <xf numFmtId="2" fontId="3" fillId="3" borderId="12" xfId="0" applyNumberFormat="1" applyFont="1" applyFill="1" applyBorder="1" applyAlignment="1">
      <alignment vertical="center"/>
    </xf>
    <xf numFmtId="4" fontId="50" fillId="0" borderId="20" xfId="0" applyNumberFormat="1" applyFont="1" applyBorder="1" applyAlignment="1">
      <alignment horizontal="center"/>
    </xf>
    <xf numFmtId="2" fontId="50" fillId="0" borderId="12" xfId="0" applyNumberFormat="1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justify" wrapText="1"/>
    </xf>
    <xf numFmtId="4" fontId="34" fillId="0" borderId="0" xfId="0" applyNumberFormat="1" applyFont="1" applyAlignment="1">
      <alignment horizontal="center"/>
    </xf>
    <xf numFmtId="0" fontId="25" fillId="0" borderId="20" xfId="0" applyFont="1" applyBorder="1" applyAlignment="1">
      <alignment horizontal="center" vertical="justify" wrapText="1"/>
    </xf>
    <xf numFmtId="0" fontId="8" fillId="0" borderId="0" xfId="0" applyFont="1" applyAlignment="1">
      <alignment horizontal="center"/>
    </xf>
    <xf numFmtId="0" fontId="8" fillId="0" borderId="20" xfId="0" applyFont="1" applyBorder="1" applyAlignment="1">
      <alignment vertical="justify" wrapText="1"/>
    </xf>
    <xf numFmtId="2" fontId="0" fillId="0" borderId="12" xfId="0" applyNumberFormat="1" applyBorder="1" applyAlignment="1">
      <alignment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vertical="center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2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justify" wrapText="1"/>
    </xf>
    <xf numFmtId="0" fontId="1" fillId="0" borderId="0" xfId="0" applyFont="1" applyAlignment="1">
      <alignment horizontal="center"/>
    </xf>
    <xf numFmtId="4" fontId="8" fillId="0" borderId="0" xfId="0" applyNumberFormat="1" applyFont="1" applyAlignment="1">
      <alignment vertical="justify" wrapText="1"/>
    </xf>
    <xf numFmtId="4" fontId="1" fillId="0" borderId="12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2" fontId="0" fillId="0" borderId="12" xfId="0" applyNumberFormat="1" applyBorder="1" applyAlignment="1">
      <alignment horizontal="right" vertical="center"/>
    </xf>
    <xf numFmtId="0" fontId="8" fillId="0" borderId="0" xfId="0" applyFont="1" applyAlignment="1">
      <alignment horizontal="left"/>
    </xf>
    <xf numFmtId="2" fontId="0" fillId="0" borderId="11" xfId="0" applyNumberFormat="1" applyBorder="1" applyAlignment="1">
      <alignment vertical="center"/>
    </xf>
    <xf numFmtId="0" fontId="54" fillId="0" borderId="0" xfId="0" applyFont="1" applyAlignment="1">
      <alignment vertical="justify" wrapText="1"/>
    </xf>
    <xf numFmtId="0" fontId="54" fillId="0" borderId="20" xfId="0" applyFont="1" applyBorder="1" applyAlignment="1">
      <alignment vertical="justify" wrapText="1"/>
    </xf>
    <xf numFmtId="2" fontId="53" fillId="0" borderId="12" xfId="0" applyNumberFormat="1" applyFont="1" applyBorder="1" applyAlignment="1">
      <alignment vertical="center"/>
    </xf>
    <xf numFmtId="0" fontId="3" fillId="0" borderId="0" xfId="0" applyFont="1" applyAlignment="1">
      <alignment horizontal="left" vertical="justify" wrapText="1"/>
    </xf>
    <xf numFmtId="0" fontId="55" fillId="0" borderId="0" xfId="0" applyFont="1" applyAlignment="1">
      <alignment horizontal="center"/>
    </xf>
    <xf numFmtId="164" fontId="10" fillId="0" borderId="0" xfId="0" applyNumberFormat="1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164" fontId="19" fillId="0" borderId="12" xfId="0" applyNumberFormat="1" applyFont="1" applyBorder="1" applyAlignment="1">
      <alignment horizontal="center" vertical="center"/>
    </xf>
    <xf numFmtId="9" fontId="19" fillId="0" borderId="23" xfId="0" applyNumberFormat="1" applyFont="1" applyBorder="1" applyAlignment="1">
      <alignment horizontal="center" vertical="center"/>
    </xf>
    <xf numFmtId="9" fontId="19" fillId="0" borderId="12" xfId="0" applyNumberFormat="1" applyFont="1" applyBorder="1" applyAlignment="1">
      <alignment horizontal="center" vertical="center"/>
    </xf>
    <xf numFmtId="2" fontId="43" fillId="0" borderId="12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4" fontId="49" fillId="0" borderId="12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4" fontId="43" fillId="0" borderId="12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2" fontId="8" fillId="0" borderId="11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justify" wrapText="1"/>
    </xf>
    <xf numFmtId="4" fontId="8" fillId="0" borderId="11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horizontal="center" vertical="center"/>
    </xf>
    <xf numFmtId="0" fontId="1" fillId="0" borderId="0" xfId="1" applyAlignment="1" applyProtection="1">
      <alignment horizontal="center" vertical="justify" wrapText="1"/>
      <protection hidden="1"/>
    </xf>
    <xf numFmtId="4" fontId="1" fillId="0" borderId="0" xfId="1" applyNumberFormat="1" applyAlignment="1" applyProtection="1">
      <alignment horizontal="center" vertical="center" wrapText="1"/>
      <protection hidden="1"/>
    </xf>
    <xf numFmtId="0" fontId="1" fillId="0" borderId="0" xfId="1" applyAlignment="1" applyProtection="1">
      <alignment vertical="justify" wrapText="1"/>
      <protection hidden="1"/>
    </xf>
    <xf numFmtId="2" fontId="3" fillId="0" borderId="12" xfId="0" applyNumberFormat="1" applyFont="1" applyBorder="1" applyAlignment="1">
      <alignment horizontal="center" vertical="center"/>
    </xf>
    <xf numFmtId="4" fontId="53" fillId="0" borderId="0" xfId="0" applyNumberFormat="1" applyFont="1" applyAlignment="1">
      <alignment vertical="center"/>
    </xf>
    <xf numFmtId="164" fontId="3" fillId="0" borderId="12" xfId="0" applyNumberFormat="1" applyFont="1" applyBorder="1" applyAlignment="1">
      <alignment horizontal="center" vertical="center"/>
    </xf>
    <xf numFmtId="2" fontId="34" fillId="0" borderId="12" xfId="0" applyNumberFormat="1" applyFont="1" applyBorder="1" applyAlignment="1">
      <alignment horizontal="center" vertical="center" wrapText="1"/>
    </xf>
    <xf numFmtId="4" fontId="61" fillId="8" borderId="12" xfId="0" applyNumberFormat="1" applyFont="1" applyFill="1" applyBorder="1" applyAlignment="1">
      <alignment horizontal="center"/>
    </xf>
    <xf numFmtId="4" fontId="34" fillId="8" borderId="12" xfId="0" applyNumberFormat="1" applyFont="1" applyFill="1" applyBorder="1" applyAlignment="1">
      <alignment horizontal="center"/>
    </xf>
    <xf numFmtId="4" fontId="3" fillId="0" borderId="12" xfId="0" quotePrefix="1" applyNumberFormat="1" applyFont="1" applyBorder="1" applyAlignment="1">
      <alignment horizontal="center" vertical="center"/>
    </xf>
    <xf numFmtId="9" fontId="3" fillId="0" borderId="12" xfId="0" applyNumberFormat="1" applyFont="1" applyBorder="1" applyAlignment="1">
      <alignment vertical="center"/>
    </xf>
    <xf numFmtId="4" fontId="1" fillId="0" borderId="26" xfId="1" quotePrefix="1" applyNumberFormat="1" applyBorder="1" applyAlignment="1" applyProtection="1">
      <alignment horizontal="center"/>
      <protection hidden="1"/>
    </xf>
    <xf numFmtId="4" fontId="46" fillId="0" borderId="26" xfId="1" applyNumberFormat="1" applyFont="1" applyBorder="1" applyAlignment="1" applyProtection="1">
      <alignment horizontal="center"/>
      <protection hidden="1"/>
    </xf>
    <xf numFmtId="4" fontId="46" fillId="0" borderId="26" xfId="1" applyNumberFormat="1" applyFont="1" applyBorder="1" applyAlignment="1" applyProtection="1">
      <alignment horizontal="center" vertical="center" wrapText="1"/>
      <protection hidden="1"/>
    </xf>
    <xf numFmtId="4" fontId="1" fillId="0" borderId="9" xfId="1" applyNumberFormat="1" applyBorder="1" applyAlignment="1" applyProtection="1">
      <alignment horizontal="center" vertical="center"/>
      <protection hidden="1"/>
    </xf>
    <xf numFmtId="4" fontId="1" fillId="0" borderId="11" xfId="1" quotePrefix="1" applyNumberFormat="1" applyBorder="1" applyAlignment="1" applyProtection="1">
      <alignment horizontal="center" vertical="center"/>
      <protection hidden="1"/>
    </xf>
    <xf numFmtId="4" fontId="1" fillId="0" borderId="43" xfId="1" quotePrefix="1" applyNumberFormat="1" applyBorder="1" applyAlignment="1" applyProtection="1">
      <alignment horizontal="center"/>
      <protection hidden="1"/>
    </xf>
    <xf numFmtId="3" fontId="1" fillId="0" borderId="43" xfId="1" quotePrefix="1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vertical="center"/>
    </xf>
    <xf numFmtId="4" fontId="1" fillId="0" borderId="9" xfId="1" quotePrefix="1" applyNumberFormat="1" applyBorder="1" applyAlignment="1" applyProtection="1">
      <alignment horizontal="center"/>
      <protection hidden="1"/>
    </xf>
    <xf numFmtId="4" fontId="1" fillId="0" borderId="43" xfId="1" applyNumberFormat="1" applyBorder="1" applyAlignment="1" applyProtection="1">
      <alignment horizontal="center" vertical="center"/>
      <protection hidden="1"/>
    </xf>
    <xf numFmtId="4" fontId="1" fillId="0" borderId="43" xfId="1" quotePrefix="1" applyNumberFormat="1" applyBorder="1" applyAlignment="1" applyProtection="1">
      <alignment horizontal="center" vertical="center"/>
      <protection hidden="1"/>
    </xf>
    <xf numFmtId="4" fontId="1" fillId="0" borderId="10" xfId="1" applyNumberFormat="1" applyBorder="1" applyAlignment="1" applyProtection="1">
      <alignment horizontal="center" vertical="center"/>
      <protection hidden="1"/>
    </xf>
    <xf numFmtId="2" fontId="34" fillId="0" borderId="12" xfId="0" applyNumberFormat="1" applyFont="1" applyBorder="1" applyAlignment="1">
      <alignment horizontal="center" vertical="center"/>
    </xf>
    <xf numFmtId="4" fontId="1" fillId="0" borderId="26" xfId="1" applyNumberFormat="1" applyBorder="1" applyAlignment="1" applyProtection="1">
      <alignment horizontal="center" vertical="center"/>
      <protection hidden="1"/>
    </xf>
    <xf numFmtId="2" fontId="25" fillId="0" borderId="12" xfId="0" quotePrefix="1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vertical="center"/>
    </xf>
    <xf numFmtId="2" fontId="10" fillId="0" borderId="53" xfId="1" applyNumberFormat="1" applyFont="1" applyBorder="1" applyAlignment="1" applyProtection="1">
      <alignment horizontal="center" vertical="center"/>
      <protection hidden="1"/>
    </xf>
    <xf numFmtId="0" fontId="8" fillId="0" borderId="26" xfId="1" quotePrefix="1" applyFont="1" applyBorder="1" applyAlignment="1" applyProtection="1">
      <alignment horizontal="left"/>
      <protection hidden="1"/>
    </xf>
    <xf numFmtId="0" fontId="1" fillId="0" borderId="9" xfId="1" applyBorder="1" applyAlignment="1" applyProtection="1">
      <alignment horizontal="left"/>
      <protection hidden="1"/>
    </xf>
    <xf numFmtId="0" fontId="1" fillId="0" borderId="7" xfId="1" applyBorder="1" applyAlignment="1" applyProtection="1">
      <alignment horizontal="left"/>
      <protection hidden="1"/>
    </xf>
    <xf numFmtId="0" fontId="10" fillId="0" borderId="7" xfId="1" applyFont="1" applyBorder="1" applyAlignment="1" applyProtection="1">
      <alignment horizontal="left"/>
      <protection hidden="1"/>
    </xf>
    <xf numFmtId="0" fontId="2" fillId="0" borderId="7" xfId="1" applyFont="1" applyBorder="1" applyAlignment="1" applyProtection="1">
      <alignment horizontal="center" vertical="center"/>
      <protection hidden="1"/>
    </xf>
    <xf numFmtId="0" fontId="4" fillId="0" borderId="8" xfId="1" applyFont="1" applyBorder="1" applyProtection="1">
      <protection hidden="1"/>
    </xf>
    <xf numFmtId="0" fontId="1" fillId="0" borderId="17" xfId="1" applyBorder="1" applyProtection="1">
      <protection hidden="1"/>
    </xf>
    <xf numFmtId="2" fontId="1" fillId="0" borderId="12" xfId="1" applyNumberFormat="1" applyBorder="1" applyAlignment="1" applyProtection="1">
      <alignment horizontal="right" vertical="center"/>
      <protection hidden="1"/>
    </xf>
    <xf numFmtId="2" fontId="19" fillId="0" borderId="12" xfId="0" applyNumberFormat="1" applyFont="1" applyBorder="1" applyAlignment="1">
      <alignment horizontal="center"/>
    </xf>
    <xf numFmtId="2" fontId="19" fillId="0" borderId="7" xfId="0" applyNumberFormat="1" applyFont="1" applyBorder="1" applyAlignment="1">
      <alignment horizontal="center"/>
    </xf>
    <xf numFmtId="2" fontId="59" fillId="0" borderId="12" xfId="0" applyNumberFormat="1" applyFont="1" applyBorder="1" applyAlignment="1">
      <alignment horizontal="center" vertical="center" wrapText="1"/>
    </xf>
    <xf numFmtId="16" fontId="2" fillId="0" borderId="25" xfId="1" quotePrefix="1" applyNumberFormat="1" applyFont="1" applyBorder="1" applyAlignment="1" applyProtection="1">
      <alignment horizontal="center" vertical="center" wrapText="1"/>
      <protection hidden="1"/>
    </xf>
    <xf numFmtId="2" fontId="2" fillId="0" borderId="16" xfId="1" applyNumberFormat="1" applyFont="1" applyBorder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center" vertical="justify" wrapText="1"/>
      <protection hidden="1"/>
    </xf>
    <xf numFmtId="0" fontId="8" fillId="0" borderId="20" xfId="1" applyFont="1" applyBorder="1" applyAlignment="1" applyProtection="1">
      <alignment horizontal="center" vertical="justify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/>
      <protection hidden="1"/>
    </xf>
    <xf numFmtId="9" fontId="16" fillId="0" borderId="0" xfId="1" applyNumberFormat="1" applyFont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8" fillId="0" borderId="15" xfId="1" applyFont="1" applyBorder="1" applyAlignment="1" applyProtection="1">
      <alignment horizontal="left"/>
      <protection hidden="1"/>
    </xf>
    <xf numFmtId="0" fontId="14" fillId="0" borderId="19" xfId="1" applyFont="1" applyBorder="1" applyAlignment="1" applyProtection="1">
      <alignment horizontal="center" vertical="center"/>
      <protection hidden="1"/>
    </xf>
    <xf numFmtId="2" fontId="7" fillId="0" borderId="21" xfId="1" applyNumberFormat="1" applyFont="1" applyBorder="1" applyAlignment="1" applyProtection="1">
      <alignment horizontal="center" vertical="center" wrapText="1"/>
      <protection hidden="1"/>
    </xf>
    <xf numFmtId="0" fontId="12" fillId="0" borderId="19" xfId="1" applyFont="1" applyBorder="1" applyAlignment="1" applyProtection="1">
      <alignment horizontal="center" vertical="justify" wrapText="1"/>
      <protection hidden="1"/>
    </xf>
    <xf numFmtId="0" fontId="2" fillId="0" borderId="19" xfId="1" applyFont="1" applyBorder="1" applyProtection="1">
      <protection hidden="1"/>
    </xf>
    <xf numFmtId="4" fontId="1" fillId="0" borderId="6" xfId="1" applyNumberFormat="1" applyBorder="1" applyAlignment="1" applyProtection="1">
      <alignment horizontal="center"/>
      <protection hidden="1"/>
    </xf>
    <xf numFmtId="4" fontId="14" fillId="0" borderId="40" xfId="1" applyNumberFormat="1" applyFont="1" applyBorder="1" applyAlignment="1" applyProtection="1">
      <alignment horizontal="center" vertical="center"/>
      <protection hidden="1"/>
    </xf>
    <xf numFmtId="4" fontId="1" fillId="0" borderId="22" xfId="1" applyNumberFormat="1" applyBorder="1" applyAlignment="1" applyProtection="1">
      <alignment horizontal="left" vertical="center" wrapText="1"/>
      <protection hidden="1"/>
    </xf>
    <xf numFmtId="4" fontId="1" fillId="0" borderId="34" xfId="1" applyNumberFormat="1" applyBorder="1" applyAlignment="1" applyProtection="1">
      <alignment horizontal="left"/>
      <protection hidden="1"/>
    </xf>
    <xf numFmtId="0" fontId="3" fillId="0" borderId="19" xfId="1" applyFont="1" applyBorder="1" applyAlignment="1" applyProtection="1">
      <alignment horizontal="center" vertical="justify" wrapText="1"/>
      <protection hidden="1"/>
    </xf>
    <xf numFmtId="0" fontId="14" fillId="0" borderId="21" xfId="1" applyFont="1" applyBorder="1" applyProtection="1">
      <protection hidden="1"/>
    </xf>
    <xf numFmtId="4" fontId="1" fillId="0" borderId="21" xfId="1" applyNumberFormat="1" applyBorder="1" applyAlignment="1" applyProtection="1">
      <alignment horizontal="left" vertical="center" wrapText="1"/>
      <protection hidden="1"/>
    </xf>
    <xf numFmtId="0" fontId="20" fillId="0" borderId="34" xfId="1" applyFont="1" applyBorder="1" applyAlignment="1" applyProtection="1">
      <alignment horizontal="center" vertical="justify" wrapText="1"/>
      <protection hidden="1"/>
    </xf>
    <xf numFmtId="0" fontId="17" fillId="0" borderId="19" xfId="1" applyFont="1" applyBorder="1" applyAlignment="1" applyProtection="1">
      <alignment horizontal="center" vertical="justify" wrapText="1"/>
      <protection hidden="1"/>
    </xf>
    <xf numFmtId="0" fontId="14" fillId="0" borderId="21" xfId="1" applyFont="1" applyBorder="1" applyAlignment="1" applyProtection="1">
      <alignment horizontal="center" vertical="center" wrapText="1"/>
      <protection hidden="1"/>
    </xf>
    <xf numFmtId="4" fontId="1" fillId="0" borderId="21" xfId="1" applyNumberFormat="1" applyBorder="1" applyAlignment="1" applyProtection="1">
      <alignment horizontal="center"/>
      <protection hidden="1"/>
    </xf>
    <xf numFmtId="4" fontId="1" fillId="0" borderId="40" xfId="1" applyNumberFormat="1" applyBorder="1" applyAlignment="1" applyProtection="1">
      <alignment horizontal="center"/>
      <protection hidden="1"/>
    </xf>
    <xf numFmtId="0" fontId="2" fillId="0" borderId="21" xfId="1" applyFont="1" applyBorder="1" applyProtection="1">
      <protection hidden="1"/>
    </xf>
    <xf numFmtId="2" fontId="1" fillId="0" borderId="53" xfId="1" applyNumberFormat="1" applyBorder="1" applyAlignment="1" applyProtection="1">
      <alignment horizontal="center" vertical="center"/>
      <protection hidden="1"/>
    </xf>
    <xf numFmtId="2" fontId="2" fillId="0" borderId="53" xfId="1" quotePrefix="1" applyNumberFormat="1" applyFont="1" applyBorder="1" applyAlignment="1" applyProtection="1">
      <alignment vertical="center"/>
      <protection hidden="1"/>
    </xf>
    <xf numFmtId="2" fontId="7" fillId="0" borderId="53" xfId="1" quotePrefix="1" applyNumberFormat="1" applyFont="1" applyBorder="1" applyAlignment="1" applyProtection="1">
      <alignment vertical="center"/>
      <protection hidden="1"/>
    </xf>
    <xf numFmtId="0" fontId="2" fillId="0" borderId="59" xfId="1" applyFont="1" applyBorder="1" applyProtection="1">
      <protection hidden="1"/>
    </xf>
    <xf numFmtId="0" fontId="28" fillId="0" borderId="25" xfId="1" applyFont="1" applyBorder="1" applyAlignment="1" applyProtection="1">
      <alignment horizontal="center"/>
      <protection hidden="1"/>
    </xf>
    <xf numFmtId="0" fontId="2" fillId="0" borderId="15" xfId="1" applyFont="1" applyBorder="1" applyProtection="1">
      <protection hidden="1"/>
    </xf>
    <xf numFmtId="0" fontId="2" fillId="0" borderId="25" xfId="1" applyFont="1" applyBorder="1" applyAlignment="1" applyProtection="1">
      <alignment horizontal="center"/>
      <protection hidden="1"/>
    </xf>
    <xf numFmtId="4" fontId="1" fillId="0" borderId="22" xfId="1" applyNumberFormat="1" applyBorder="1" applyAlignment="1" applyProtection="1">
      <alignment vertical="center" wrapText="1"/>
      <protection hidden="1"/>
    </xf>
    <xf numFmtId="4" fontId="61" fillId="3" borderId="12" xfId="0" applyNumberFormat="1" applyFont="1" applyFill="1" applyBorder="1"/>
    <xf numFmtId="4" fontId="3" fillId="0" borderId="0" xfId="0" quotePrefix="1" applyNumberFormat="1" applyFont="1" applyAlignment="1">
      <alignment horizontal="center" vertical="center"/>
    </xf>
    <xf numFmtId="0" fontId="6" fillId="0" borderId="12" xfId="1" applyFont="1" applyBorder="1" applyAlignment="1" applyProtection="1">
      <alignment horizontal="center" vertical="center" wrapText="1"/>
      <protection hidden="1"/>
    </xf>
    <xf numFmtId="4" fontId="1" fillId="0" borderId="0" xfId="1" applyNumberFormat="1" applyAlignment="1" applyProtection="1">
      <alignment horizontal="center" vertical="justify" wrapText="1"/>
      <protection hidden="1"/>
    </xf>
    <xf numFmtId="0" fontId="16" fillId="0" borderId="10" xfId="1" applyFont="1" applyBorder="1" applyAlignment="1" applyProtection="1">
      <alignment horizontal="center" vertical="center" wrapText="1"/>
      <protection hidden="1"/>
    </xf>
    <xf numFmtId="9" fontId="16" fillId="0" borderId="10" xfId="1" applyNumberFormat="1" applyFont="1" applyBorder="1" applyAlignment="1" applyProtection="1">
      <alignment horizontal="center" vertical="center" wrapText="1"/>
      <protection hidden="1"/>
    </xf>
    <xf numFmtId="0" fontId="2" fillId="0" borderId="53" xfId="1" applyFont="1" applyBorder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left"/>
      <protection hidden="1"/>
    </xf>
    <xf numFmtId="4" fontId="1" fillId="0" borderId="0" xfId="1" applyNumberFormat="1" applyAlignment="1" applyProtection="1">
      <alignment horizontal="center" vertical="center"/>
      <protection hidden="1"/>
    </xf>
    <xf numFmtId="4" fontId="14" fillId="0" borderId="21" xfId="1" applyNumberFormat="1" applyFont="1" applyBorder="1" applyAlignment="1" applyProtection="1">
      <alignment horizontal="center" vertical="center"/>
      <protection hidden="1"/>
    </xf>
    <xf numFmtId="2" fontId="2" fillId="0" borderId="42" xfId="1" applyNumberFormat="1" applyFont="1" applyBorder="1" applyAlignment="1" applyProtection="1">
      <alignment horizontal="center" vertical="center"/>
      <protection hidden="1"/>
    </xf>
    <xf numFmtId="0" fontId="1" fillId="0" borderId="29" xfId="1" applyBorder="1" applyAlignment="1" applyProtection="1">
      <alignment horizontal="left" vertical="center" wrapText="1"/>
      <protection hidden="1"/>
    </xf>
    <xf numFmtId="0" fontId="1" fillId="0" borderId="24" xfId="1" applyBorder="1" applyAlignment="1" applyProtection="1">
      <alignment horizontal="center"/>
      <protection hidden="1"/>
    </xf>
    <xf numFmtId="4" fontId="1" fillId="0" borderId="19" xfId="1" applyNumberFormat="1" applyBorder="1" applyAlignment="1" applyProtection="1">
      <alignment horizontal="left" vertical="justify" wrapText="1"/>
      <protection hidden="1"/>
    </xf>
    <xf numFmtId="0" fontId="36" fillId="0" borderId="48" xfId="1" applyFont="1" applyBorder="1" applyAlignment="1" applyProtection="1">
      <alignment horizontal="center"/>
      <protection hidden="1"/>
    </xf>
    <xf numFmtId="0" fontId="36" fillId="0" borderId="24" xfId="1" applyFont="1" applyBorder="1" applyAlignment="1" applyProtection="1">
      <alignment horizontal="center"/>
      <protection hidden="1"/>
    </xf>
    <xf numFmtId="0" fontId="14" fillId="0" borderId="12" xfId="1" applyFont="1" applyBorder="1" applyAlignment="1" applyProtection="1">
      <alignment horizontal="center" vertical="center"/>
      <protection hidden="1"/>
    </xf>
    <xf numFmtId="0" fontId="16" fillId="0" borderId="12" xfId="1" applyFont="1" applyBorder="1" applyAlignment="1" applyProtection="1">
      <alignment horizontal="center" vertical="center" wrapText="1"/>
      <protection hidden="1"/>
    </xf>
    <xf numFmtId="4" fontId="14" fillId="0" borderId="10" xfId="1" applyNumberFormat="1" applyFont="1" applyBorder="1" applyAlignment="1" applyProtection="1">
      <alignment horizontal="center" vertical="center"/>
      <protection hidden="1"/>
    </xf>
    <xf numFmtId="0" fontId="16" fillId="0" borderId="25" xfId="1" applyFont="1" applyBorder="1" applyAlignment="1" applyProtection="1">
      <alignment horizontal="center" vertical="center" wrapText="1"/>
      <protection hidden="1"/>
    </xf>
    <xf numFmtId="4" fontId="8" fillId="0" borderId="0" xfId="1" applyNumberFormat="1" applyFont="1" applyAlignment="1" applyProtection="1">
      <alignment horizontal="left"/>
      <protection hidden="1"/>
    </xf>
    <xf numFmtId="4" fontId="10" fillId="0" borderId="13" xfId="1" applyNumberFormat="1" applyFont="1" applyBorder="1" applyAlignment="1" applyProtection="1">
      <alignment horizontal="center" vertical="center"/>
      <protection hidden="1"/>
    </xf>
    <xf numFmtId="4" fontId="10" fillId="0" borderId="52" xfId="1" applyNumberFormat="1" applyFont="1" applyBorder="1" applyAlignment="1" applyProtection="1">
      <alignment horizontal="center" vertical="center"/>
      <protection hidden="1"/>
    </xf>
    <xf numFmtId="4" fontId="1" fillId="0" borderId="19" xfId="1" applyNumberFormat="1" applyBorder="1" applyAlignment="1" applyProtection="1">
      <alignment horizontal="center" vertical="center"/>
      <protection hidden="1"/>
    </xf>
    <xf numFmtId="4" fontId="10" fillId="0" borderId="12" xfId="1" applyNumberFormat="1" applyFont="1" applyBorder="1" applyAlignment="1" applyProtection="1">
      <alignment horizontal="center" vertical="center"/>
      <protection hidden="1"/>
    </xf>
    <xf numFmtId="4" fontId="1" fillId="0" borderId="19" xfId="1" applyNumberFormat="1" applyBorder="1" applyAlignment="1" applyProtection="1">
      <alignment vertical="center"/>
      <protection hidden="1"/>
    </xf>
    <xf numFmtId="4" fontId="1" fillId="0" borderId="0" xfId="1" applyNumberFormat="1" applyAlignment="1" applyProtection="1">
      <alignment horizontal="left" vertical="center"/>
      <protection hidden="1"/>
    </xf>
    <xf numFmtId="2" fontId="2" fillId="0" borderId="15" xfId="1" applyNumberFormat="1" applyFont="1" applyBorder="1" applyAlignment="1" applyProtection="1">
      <alignment horizontal="center" vertical="center"/>
      <protection hidden="1"/>
    </xf>
    <xf numFmtId="4" fontId="1" fillId="0" borderId="19" xfId="1" applyNumberFormat="1" applyBorder="1" applyAlignment="1" applyProtection="1">
      <alignment horizontal="left" vertical="center"/>
      <protection hidden="1"/>
    </xf>
    <xf numFmtId="4" fontId="14" fillId="0" borderId="0" xfId="1" applyNumberFormat="1" applyFont="1" applyAlignment="1" applyProtection="1">
      <alignment horizontal="center" vertical="center"/>
      <protection hidden="1"/>
    </xf>
    <xf numFmtId="4" fontId="3" fillId="0" borderId="10" xfId="0" quotePrefix="1" applyNumberFormat="1" applyFont="1" applyBorder="1" applyAlignment="1">
      <alignment horizontal="center" vertical="center"/>
    </xf>
    <xf numFmtId="4" fontId="1" fillId="0" borderId="28" xfId="1" applyNumberFormat="1" applyBorder="1" applyAlignment="1" applyProtection="1">
      <alignment horizontal="center" vertical="center"/>
      <protection hidden="1"/>
    </xf>
    <xf numFmtId="4" fontId="10" fillId="0" borderId="54" xfId="1" applyNumberFormat="1" applyFont="1" applyBorder="1" applyAlignment="1" applyProtection="1">
      <alignment horizontal="center" vertical="center"/>
      <protection hidden="1"/>
    </xf>
    <xf numFmtId="0" fontId="43" fillId="0" borderId="0" xfId="1" applyFont="1" applyAlignment="1" applyProtection="1">
      <alignment vertical="center" wrapText="1"/>
      <protection hidden="1"/>
    </xf>
    <xf numFmtId="4" fontId="11" fillId="0" borderId="0" xfId="1" applyNumberFormat="1" applyFont="1" applyAlignment="1" applyProtection="1">
      <alignment horizontal="center" vertical="center" wrapText="1"/>
      <protection hidden="1"/>
    </xf>
    <xf numFmtId="0" fontId="2" fillId="0" borderId="12" xfId="1" quotePrefix="1" applyFont="1" applyBorder="1" applyAlignment="1">
      <alignment horizontal="center" vertical="center" wrapText="1"/>
    </xf>
    <xf numFmtId="9" fontId="16" fillId="0" borderId="11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2" fontId="2" fillId="0" borderId="12" xfId="1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14" fillId="0" borderId="12" xfId="0" applyNumberFormat="1" applyFont="1" applyBorder="1" applyAlignment="1">
      <alignment horizontal="center" vertical="center"/>
    </xf>
    <xf numFmtId="2" fontId="2" fillId="0" borderId="23" xfId="1" applyNumberFormat="1" applyFont="1" applyBorder="1" applyAlignment="1" applyProtection="1">
      <alignment horizontal="center" vertical="center"/>
      <protection hidden="1"/>
    </xf>
    <xf numFmtId="2" fontId="14" fillId="0" borderId="43" xfId="1" applyNumberFormat="1" applyFont="1" applyBorder="1" applyAlignment="1" applyProtection="1">
      <alignment horizontal="center" vertical="center"/>
      <protection hidden="1"/>
    </xf>
    <xf numFmtId="2" fontId="2" fillId="0" borderId="26" xfId="1" applyNumberFormat="1" applyFont="1" applyBorder="1" applyAlignment="1" applyProtection="1">
      <alignment horizontal="center" vertical="center"/>
      <protection hidden="1"/>
    </xf>
    <xf numFmtId="166" fontId="14" fillId="2" borderId="0" xfId="1" applyNumberFormat="1" applyFont="1" applyFill="1" applyAlignment="1" applyProtection="1">
      <alignment horizontal="center" vertical="center"/>
      <protection hidden="1"/>
    </xf>
    <xf numFmtId="166" fontId="14" fillId="2" borderId="15" xfId="1" applyNumberFormat="1" applyFont="1" applyFill="1" applyBorder="1" applyAlignment="1" applyProtection="1">
      <alignment horizontal="center" vertical="center"/>
      <protection hidden="1"/>
    </xf>
    <xf numFmtId="2" fontId="8" fillId="0" borderId="12" xfId="0" applyNumberFormat="1" applyFont="1" applyBorder="1" applyAlignment="1">
      <alignment horizontal="center" vertical="center" wrapText="1"/>
    </xf>
    <xf numFmtId="4" fontId="2" fillId="0" borderId="23" xfId="1" applyNumberFormat="1" applyFont="1" applyBorder="1" applyAlignment="1" applyProtection="1">
      <alignment horizontal="center" vertical="center"/>
      <protection hidden="1"/>
    </xf>
    <xf numFmtId="4" fontId="3" fillId="0" borderId="26" xfId="0" quotePrefix="1" applyNumberFormat="1" applyFont="1" applyBorder="1" applyAlignment="1">
      <alignment horizontal="center" vertical="center"/>
    </xf>
    <xf numFmtId="4" fontId="33" fillId="0" borderId="48" xfId="1" applyNumberFormat="1" applyFont="1" applyBorder="1" applyAlignment="1" applyProtection="1">
      <alignment horizontal="left" vertical="center"/>
      <protection hidden="1"/>
    </xf>
    <xf numFmtId="4" fontId="3" fillId="0" borderId="24" xfId="1" applyNumberFormat="1" applyFont="1" applyBorder="1" applyAlignment="1" applyProtection="1">
      <alignment horizontal="left" vertical="center"/>
      <protection hidden="1"/>
    </xf>
    <xf numFmtId="4" fontId="3" fillId="0" borderId="25" xfId="1" applyNumberFormat="1" applyFont="1" applyBorder="1" applyAlignment="1" applyProtection="1">
      <alignment horizontal="left" vertical="center"/>
      <protection hidden="1"/>
    </xf>
    <xf numFmtId="4" fontId="10" fillId="0" borderId="24" xfId="1" applyNumberFormat="1" applyFont="1" applyBorder="1" applyAlignment="1" applyProtection="1">
      <alignment horizontal="center" vertical="center"/>
      <protection hidden="1"/>
    </xf>
    <xf numFmtId="4" fontId="10" fillId="0" borderId="24" xfId="1" applyNumberFormat="1" applyFont="1" applyBorder="1" applyAlignment="1" applyProtection="1">
      <alignment vertical="center"/>
      <protection hidden="1"/>
    </xf>
    <xf numFmtId="4" fontId="25" fillId="0" borderId="49" xfId="1" applyNumberFormat="1" applyFont="1" applyBorder="1" applyAlignment="1" applyProtection="1">
      <alignment horizontal="right" vertical="center"/>
      <protection hidden="1"/>
    </xf>
    <xf numFmtId="4" fontId="1" fillId="0" borderId="24" xfId="1" applyNumberFormat="1" applyBorder="1" applyAlignment="1" applyProtection="1">
      <alignment horizontal="left" vertical="center"/>
      <protection hidden="1"/>
    </xf>
    <xf numFmtId="0" fontId="1" fillId="0" borderId="25" xfId="1" applyBorder="1" applyProtection="1">
      <protection hidden="1"/>
    </xf>
    <xf numFmtId="4" fontId="10" fillId="8" borderId="48" xfId="1" applyNumberFormat="1" applyFont="1" applyFill="1" applyBorder="1" applyAlignment="1" applyProtection="1">
      <alignment horizontal="center" vertical="center"/>
      <protection hidden="1"/>
    </xf>
    <xf numFmtId="0" fontId="2" fillId="0" borderId="52" xfId="1" applyFont="1" applyBorder="1" applyAlignment="1" applyProtection="1">
      <alignment horizontal="center"/>
      <protection hidden="1"/>
    </xf>
    <xf numFmtId="168" fontId="14" fillId="0" borderId="52" xfId="3" applyFont="1" applyBorder="1" applyAlignment="1" applyProtection="1">
      <alignment horizontal="right" vertical="center"/>
      <protection hidden="1"/>
    </xf>
    <xf numFmtId="2" fontId="14" fillId="0" borderId="52" xfId="1" applyNumberFormat="1" applyFont="1" applyBorder="1" applyAlignment="1" applyProtection="1">
      <alignment vertical="center"/>
      <protection hidden="1"/>
    </xf>
    <xf numFmtId="168" fontId="10" fillId="0" borderId="18" xfId="3" applyFont="1" applyBorder="1" applyAlignment="1" applyProtection="1">
      <alignment horizontal="right" vertical="center"/>
      <protection hidden="1"/>
    </xf>
    <xf numFmtId="168" fontId="14" fillId="0" borderId="18" xfId="3" applyFont="1" applyBorder="1" applyAlignment="1" applyProtection="1">
      <alignment horizontal="right" vertical="center"/>
      <protection hidden="1"/>
    </xf>
    <xf numFmtId="0" fontId="1" fillId="0" borderId="48" xfId="1" applyBorder="1" applyAlignment="1" applyProtection="1">
      <alignment horizontal="left"/>
      <protection hidden="1"/>
    </xf>
    <xf numFmtId="4" fontId="25" fillId="3" borderId="12" xfId="1" applyNumberFormat="1" applyFont="1" applyFill="1" applyBorder="1" applyAlignment="1" applyProtection="1">
      <alignment horizontal="center" vertical="center"/>
      <protection hidden="1"/>
    </xf>
    <xf numFmtId="4" fontId="17" fillId="0" borderId="19" xfId="1" applyNumberFormat="1" applyFont="1" applyBorder="1" applyAlignment="1" applyProtection="1">
      <alignment horizontal="left"/>
      <protection hidden="1"/>
    </xf>
    <xf numFmtId="4" fontId="53" fillId="0" borderId="19" xfId="1" applyNumberFormat="1" applyFont="1" applyBorder="1" applyAlignment="1" applyProtection="1">
      <alignment horizontal="left"/>
      <protection hidden="1"/>
    </xf>
    <xf numFmtId="4" fontId="40" fillId="0" borderId="19" xfId="1" applyNumberFormat="1" applyFont="1" applyBorder="1" applyAlignment="1" applyProtection="1">
      <alignment horizontal="left"/>
      <protection hidden="1"/>
    </xf>
    <xf numFmtId="4" fontId="8" fillId="0" borderId="0" xfId="1" applyNumberFormat="1" applyFont="1" applyAlignment="1" applyProtection="1">
      <alignment horizontal="center" vertical="center"/>
      <protection hidden="1"/>
    </xf>
    <xf numFmtId="4" fontId="14" fillId="0" borderId="43" xfId="1" applyNumberFormat="1" applyFont="1" applyBorder="1" applyAlignment="1" applyProtection="1">
      <alignment horizontal="center" vertical="center"/>
      <protection hidden="1"/>
    </xf>
    <xf numFmtId="9" fontId="16" fillId="0" borderId="12" xfId="1" applyNumberFormat="1" applyFont="1" applyBorder="1" applyAlignment="1" applyProtection="1">
      <alignment horizontal="center" vertical="center" wrapText="1"/>
      <protection hidden="1"/>
    </xf>
    <xf numFmtId="0" fontId="27" fillId="0" borderId="0" xfId="1" applyFont="1" applyAlignment="1" applyProtection="1">
      <alignment horizontal="center" vertical="justify" wrapText="1"/>
      <protection hidden="1"/>
    </xf>
    <xf numFmtId="4" fontId="1" fillId="0" borderId="0" xfId="1" applyNumberFormat="1" applyAlignment="1" applyProtection="1">
      <alignment horizontal="left" vertical="justify" wrapText="1"/>
      <protection hidden="1"/>
    </xf>
    <xf numFmtId="0" fontId="1" fillId="8" borderId="0" xfId="1" applyFill="1" applyProtection="1">
      <protection hidden="1"/>
    </xf>
    <xf numFmtId="43" fontId="14" fillId="4" borderId="47" xfId="1" applyNumberFormat="1" applyFont="1" applyFill="1" applyBorder="1" applyAlignment="1" applyProtection="1">
      <alignment horizontal="center" vertical="center"/>
      <protection hidden="1"/>
    </xf>
    <xf numFmtId="4" fontId="8" fillId="0" borderId="0" xfId="1" applyNumberFormat="1" applyFont="1" applyAlignment="1" applyProtection="1">
      <alignment horizontal="center"/>
      <protection hidden="1"/>
    </xf>
    <xf numFmtId="4" fontId="32" fillId="0" borderId="0" xfId="1" applyNumberFormat="1" applyFont="1" applyAlignment="1" applyProtection="1">
      <alignment horizontal="center"/>
      <protection hidden="1"/>
    </xf>
    <xf numFmtId="4" fontId="8" fillId="0" borderId="29" xfId="1" applyNumberFormat="1" applyFont="1" applyBorder="1" applyAlignment="1" applyProtection="1">
      <alignment horizontal="center" vertical="center"/>
      <protection hidden="1"/>
    </xf>
    <xf numFmtId="4" fontId="14" fillId="0" borderId="53" xfId="1" applyNumberFormat="1" applyFont="1" applyBorder="1" applyAlignment="1" applyProtection="1">
      <alignment horizontal="center" vertical="center"/>
      <protection hidden="1"/>
    </xf>
    <xf numFmtId="2" fontId="2" fillId="0" borderId="29" xfId="1" applyNumberFormat="1" applyFont="1" applyBorder="1" applyAlignment="1" applyProtection="1">
      <alignment horizontal="center" vertical="center"/>
      <protection hidden="1"/>
    </xf>
    <xf numFmtId="168" fontId="14" fillId="0" borderId="54" xfId="3" applyFont="1" applyBorder="1" applyAlignment="1" applyProtection="1">
      <alignment horizontal="right" vertical="center"/>
      <protection hidden="1"/>
    </xf>
    <xf numFmtId="4" fontId="37" fillId="0" borderId="0" xfId="1" applyNumberFormat="1" applyFont="1" applyAlignment="1" applyProtection="1">
      <alignment horizontal="left" vertical="center"/>
      <protection hidden="1"/>
    </xf>
    <xf numFmtId="4" fontId="40" fillId="0" borderId="0" xfId="1" applyNumberFormat="1" applyFont="1" applyAlignment="1" applyProtection="1">
      <alignment horizontal="left" vertical="center"/>
      <protection hidden="1"/>
    </xf>
    <xf numFmtId="0" fontId="39" fillId="0" borderId="0" xfId="1" applyFont="1" applyProtection="1">
      <protection hidden="1"/>
    </xf>
    <xf numFmtId="0" fontId="1" fillId="0" borderId="37" xfId="1" applyBorder="1" applyAlignment="1" applyProtection="1">
      <alignment horizontal="left"/>
      <protection hidden="1"/>
    </xf>
    <xf numFmtId="0" fontId="1" fillId="0" borderId="38" xfId="1" applyBorder="1" applyAlignment="1" applyProtection="1">
      <alignment horizontal="center"/>
      <protection hidden="1"/>
    </xf>
    <xf numFmtId="2" fontId="14" fillId="0" borderId="53" xfId="3" applyNumberFormat="1" applyFont="1" applyBorder="1" applyAlignment="1" applyProtection="1">
      <alignment horizontal="center" vertical="center"/>
      <protection hidden="1"/>
    </xf>
    <xf numFmtId="164" fontId="2" fillId="0" borderId="53" xfId="1" applyNumberFormat="1" applyFont="1" applyBorder="1" applyAlignment="1" applyProtection="1">
      <alignment horizontal="center" vertical="center"/>
      <protection hidden="1"/>
    </xf>
    <xf numFmtId="4" fontId="40" fillId="0" borderId="34" xfId="1" applyNumberFormat="1" applyFont="1" applyBorder="1" applyAlignment="1" applyProtection="1">
      <alignment horizontal="left" vertical="center"/>
      <protection hidden="1"/>
    </xf>
    <xf numFmtId="4" fontId="3" fillId="0" borderId="0" xfId="0" applyNumberFormat="1" applyFont="1"/>
    <xf numFmtId="4" fontId="10" fillId="0" borderId="19" xfId="1" applyNumberFormat="1" applyFont="1" applyBorder="1" applyAlignment="1" applyProtection="1">
      <alignment horizontal="left"/>
      <protection hidden="1"/>
    </xf>
    <xf numFmtId="4" fontId="41" fillId="0" borderId="19" xfId="1" applyNumberFormat="1" applyFont="1" applyBorder="1" applyAlignment="1" applyProtection="1">
      <alignment horizontal="left" vertical="center"/>
      <protection hidden="1"/>
    </xf>
    <xf numFmtId="43" fontId="14" fillId="0" borderId="12" xfId="3" applyNumberFormat="1" applyFont="1" applyFill="1" applyBorder="1" applyAlignment="1" applyProtection="1">
      <alignment horizontal="right" vertical="center"/>
      <protection hidden="1"/>
    </xf>
    <xf numFmtId="168" fontId="14" fillId="0" borderId="12" xfId="3" applyFont="1" applyBorder="1" applyAlignment="1" applyProtection="1">
      <alignment horizontal="right" vertical="center"/>
      <protection hidden="1"/>
    </xf>
    <xf numFmtId="168" fontId="14" fillId="0" borderId="53" xfId="3" applyFont="1" applyBorder="1" applyAlignment="1" applyProtection="1">
      <alignment horizontal="right" vertical="center"/>
      <protection hidden="1"/>
    </xf>
    <xf numFmtId="164" fontId="14" fillId="0" borderId="12" xfId="1" applyNumberFormat="1" applyFont="1" applyBorder="1" applyAlignment="1" applyProtection="1">
      <alignment horizontal="center" vertical="center"/>
      <protection hidden="1"/>
    </xf>
    <xf numFmtId="3" fontId="2" fillId="0" borderId="25" xfId="1" applyNumberFormat="1" applyFont="1" applyBorder="1" applyAlignment="1" applyProtection="1">
      <alignment horizontal="center" vertical="center"/>
      <protection hidden="1"/>
    </xf>
    <xf numFmtId="4" fontId="3" fillId="0" borderId="7" xfId="1" applyNumberFormat="1" applyFont="1" applyBorder="1" applyAlignment="1" applyProtection="1">
      <alignment horizontal="center" vertical="center" wrapText="1"/>
      <protection hidden="1"/>
    </xf>
    <xf numFmtId="4" fontId="3" fillId="0" borderId="40" xfId="1" applyNumberFormat="1" applyFont="1" applyBorder="1" applyAlignment="1" applyProtection="1">
      <alignment horizontal="center" vertical="center" wrapText="1"/>
      <protection hidden="1"/>
    </xf>
    <xf numFmtId="4" fontId="3" fillId="0" borderId="6" xfId="1" applyNumberFormat="1" applyFont="1" applyBorder="1" applyAlignment="1" applyProtection="1">
      <alignment horizontal="center" vertical="center" wrapText="1"/>
      <protection hidden="1"/>
    </xf>
    <xf numFmtId="0" fontId="42" fillId="0" borderId="0" xfId="1" applyFont="1" applyAlignment="1" applyProtection="1">
      <alignment horizontal="center" vertical="justify" wrapText="1"/>
      <protection hidden="1"/>
    </xf>
    <xf numFmtId="0" fontId="35" fillId="0" borderId="0" xfId="1" applyFont="1" applyAlignment="1" applyProtection="1">
      <alignment vertical="justify" wrapText="1"/>
      <protection hidden="1"/>
    </xf>
    <xf numFmtId="3" fontId="2" fillId="0" borderId="0" xfId="1" applyNumberFormat="1" applyFont="1" applyAlignment="1" applyProtection="1">
      <alignment horizontal="center" vertical="center"/>
      <protection hidden="1"/>
    </xf>
    <xf numFmtId="4" fontId="2" fillId="5" borderId="0" xfId="1" applyNumberFormat="1" applyFont="1" applyFill="1" applyAlignment="1" applyProtection="1">
      <alignment horizontal="center" vertical="justify" wrapText="1"/>
      <protection hidden="1"/>
    </xf>
    <xf numFmtId="0" fontId="14" fillId="5" borderId="0" xfId="1" applyFont="1" applyFill="1" applyAlignment="1" applyProtection="1">
      <alignment horizontal="center"/>
      <protection hidden="1"/>
    </xf>
    <xf numFmtId="0" fontId="2" fillId="5" borderId="0" xfId="1" applyFont="1" applyFill="1" applyProtection="1">
      <protection hidden="1"/>
    </xf>
    <xf numFmtId="4" fontId="35" fillId="0" borderId="0" xfId="1" applyNumberFormat="1" applyFont="1" applyAlignment="1" applyProtection="1">
      <alignment horizontal="center"/>
      <protection hidden="1"/>
    </xf>
    <xf numFmtId="168" fontId="2" fillId="0" borderId="0" xfId="1" applyNumberFormat="1" applyFont="1" applyProtection="1">
      <protection hidden="1"/>
    </xf>
    <xf numFmtId="4" fontId="14" fillId="6" borderId="47" xfId="1" applyNumberFormat="1" applyFont="1" applyFill="1" applyBorder="1" applyAlignment="1" applyProtection="1">
      <alignment horizontal="right" vertical="center"/>
      <protection hidden="1"/>
    </xf>
    <xf numFmtId="2" fontId="2" fillId="0" borderId="21" xfId="1" applyNumberFormat="1" applyFont="1" applyBorder="1" applyAlignment="1" applyProtection="1">
      <alignment horizontal="center" vertical="center"/>
      <protection hidden="1"/>
    </xf>
    <xf numFmtId="4" fontId="14" fillId="0" borderId="29" xfId="1" applyNumberFormat="1" applyFont="1" applyBorder="1" applyAlignment="1" applyProtection="1">
      <alignment horizontal="center" vertical="center"/>
      <protection hidden="1"/>
    </xf>
    <xf numFmtId="4" fontId="2" fillId="0" borderId="0" xfId="1" applyNumberFormat="1" applyFont="1" applyAlignment="1" applyProtection="1">
      <alignment horizontal="right" vertical="center"/>
      <protection hidden="1"/>
    </xf>
    <xf numFmtId="4" fontId="2" fillId="0" borderId="29" xfId="1" applyNumberFormat="1" applyFont="1" applyBorder="1" applyAlignment="1" applyProtection="1">
      <alignment horizontal="right" vertical="center"/>
      <protection hidden="1"/>
    </xf>
    <xf numFmtId="0" fontId="43" fillId="0" borderId="0" xfId="1" applyFont="1" applyAlignment="1" applyProtection="1">
      <alignment horizontal="center" vertical="center" wrapText="1"/>
      <protection hidden="1"/>
    </xf>
    <xf numFmtId="0" fontId="1" fillId="0" borderId="15" xfId="1" applyBorder="1" applyAlignment="1" applyProtection="1">
      <alignment horizontal="center"/>
      <protection hidden="1"/>
    </xf>
    <xf numFmtId="4" fontId="1" fillId="0" borderId="9" xfId="1" applyNumberFormat="1" applyBorder="1" applyAlignment="1" applyProtection="1">
      <alignment horizontal="center" vertical="center" wrapText="1"/>
      <protection hidden="1"/>
    </xf>
    <xf numFmtId="4" fontId="1" fillId="0" borderId="26" xfId="1" applyNumberFormat="1" applyBorder="1" applyAlignment="1" applyProtection="1">
      <alignment horizontal="center" vertical="center" wrapText="1"/>
      <protection hidden="1"/>
    </xf>
    <xf numFmtId="4" fontId="1" fillId="0" borderId="11" xfId="1" applyNumberFormat="1" applyBorder="1" applyAlignment="1" applyProtection="1">
      <alignment horizontal="center" vertical="center" wrapText="1"/>
      <protection hidden="1"/>
    </xf>
    <xf numFmtId="4" fontId="1" fillId="0" borderId="43" xfId="1" applyNumberFormat="1" applyBorder="1" applyAlignment="1" applyProtection="1">
      <alignment horizontal="center" vertical="center" wrapText="1"/>
      <protection hidden="1"/>
    </xf>
    <xf numFmtId="9" fontId="16" fillId="0" borderId="25" xfId="1" applyNumberFormat="1" applyFont="1" applyBorder="1" applyAlignment="1" applyProtection="1">
      <alignment horizontal="center" vertical="center" wrapText="1"/>
      <protection hidden="1"/>
    </xf>
    <xf numFmtId="2" fontId="8" fillId="0" borderId="26" xfId="0" applyNumberFormat="1" applyFont="1" applyBorder="1" applyAlignment="1">
      <alignment horizontal="center" vertical="center"/>
    </xf>
    <xf numFmtId="0" fontId="1" fillId="0" borderId="0" xfId="1" applyAlignment="1" applyProtection="1">
      <alignment horizontal="right" vertical="justify" wrapText="1"/>
      <protection hidden="1"/>
    </xf>
    <xf numFmtId="168" fontId="1" fillId="0" borderId="0" xfId="3" applyFont="1" applyBorder="1" applyAlignment="1" applyProtection="1">
      <alignment horizontal="right" indent="1"/>
      <protection hidden="1"/>
    </xf>
    <xf numFmtId="0" fontId="1" fillId="0" borderId="7" xfId="1" applyBorder="1" applyAlignment="1" applyProtection="1">
      <alignment horizontal="right" vertical="center" wrapText="1"/>
      <protection hidden="1"/>
    </xf>
    <xf numFmtId="0" fontId="8" fillId="0" borderId="8" xfId="1" applyFont="1" applyBorder="1" applyAlignment="1" applyProtection="1">
      <alignment vertical="center" wrapText="1"/>
      <protection hidden="1"/>
    </xf>
    <xf numFmtId="0" fontId="4" fillId="0" borderId="20" xfId="1" applyFont="1" applyBorder="1" applyProtection="1">
      <protection hidden="1"/>
    </xf>
    <xf numFmtId="4" fontId="10" fillId="0" borderId="11" xfId="1" applyNumberFormat="1" applyFont="1" applyBorder="1" applyAlignment="1" applyProtection="1">
      <alignment horizontal="center" vertical="center" wrapText="1"/>
      <protection hidden="1"/>
    </xf>
    <xf numFmtId="4" fontId="10" fillId="0" borderId="43" xfId="1" applyNumberFormat="1" applyFont="1" applyBorder="1" applyAlignment="1" applyProtection="1">
      <alignment horizontal="center" vertical="center" wrapText="1"/>
      <protection hidden="1"/>
    </xf>
    <xf numFmtId="0" fontId="1" fillId="0" borderId="17" xfId="1" applyBorder="1" applyAlignment="1" applyProtection="1">
      <alignment horizontal="left"/>
      <protection hidden="1"/>
    </xf>
    <xf numFmtId="0" fontId="1" fillId="0" borderId="15" xfId="1" applyBorder="1" applyAlignment="1" applyProtection="1">
      <alignment horizontal="left"/>
      <protection hidden="1"/>
    </xf>
    <xf numFmtId="0" fontId="1" fillId="0" borderId="16" xfId="1" applyBorder="1" applyAlignment="1" applyProtection="1">
      <alignment horizontal="left"/>
      <protection hidden="1"/>
    </xf>
    <xf numFmtId="0" fontId="1" fillId="0" borderId="17" xfId="1" applyBorder="1" applyAlignment="1" applyProtection="1">
      <alignment horizontal="center" vertical="center"/>
      <protection hidden="1"/>
    </xf>
    <xf numFmtId="0" fontId="1" fillId="0" borderId="10" xfId="1" applyBorder="1" applyAlignment="1" applyProtection="1">
      <alignment vertical="center"/>
      <protection hidden="1"/>
    </xf>
    <xf numFmtId="0" fontId="1" fillId="0" borderId="17" xfId="1" applyBorder="1" applyAlignment="1" applyProtection="1">
      <alignment vertical="center"/>
      <protection hidden="1"/>
    </xf>
    <xf numFmtId="0" fontId="10" fillId="0" borderId="10" xfId="1" applyFont="1" applyBorder="1" applyProtection="1">
      <protection hidden="1"/>
    </xf>
    <xf numFmtId="4" fontId="46" fillId="0" borderId="26" xfId="1" applyNumberFormat="1" applyFont="1" applyBorder="1" applyAlignment="1" applyProtection="1">
      <alignment horizontal="center" vertical="center"/>
      <protection hidden="1"/>
    </xf>
    <xf numFmtId="4" fontId="46" fillId="0" borderId="17" xfId="1" applyNumberFormat="1" applyFont="1" applyBorder="1" applyAlignment="1" applyProtection="1">
      <alignment horizontal="center"/>
      <protection hidden="1"/>
    </xf>
    <xf numFmtId="4" fontId="1" fillId="0" borderId="43" xfId="1" applyNumberFormat="1" applyBorder="1" applyAlignment="1" applyProtection="1">
      <alignment horizontal="left" vertical="center" indent="1"/>
      <protection hidden="1"/>
    </xf>
    <xf numFmtId="4" fontId="46" fillId="0" borderId="26" xfId="1" applyNumberFormat="1" applyFont="1" applyBorder="1" applyAlignment="1" applyProtection="1">
      <alignment horizontal="left" vertical="center" indent="1"/>
      <protection hidden="1"/>
    </xf>
    <xf numFmtId="4" fontId="1" fillId="0" borderId="26" xfId="1" applyNumberFormat="1" applyBorder="1" applyAlignment="1" applyProtection="1">
      <alignment horizontal="left" vertical="center" indent="1"/>
      <protection hidden="1"/>
    </xf>
    <xf numFmtId="4" fontId="4" fillId="0" borderId="20" xfId="1" applyNumberFormat="1" applyFont="1" applyBorder="1" applyAlignment="1" applyProtection="1">
      <alignment horizontal="left" vertical="center" indent="1"/>
      <protection hidden="1"/>
    </xf>
    <xf numFmtId="0" fontId="1" fillId="0" borderId="0" xfId="1" applyAlignment="1" applyProtection="1">
      <alignment horizontal="left" vertical="center" indent="1"/>
      <protection hidden="1"/>
    </xf>
    <xf numFmtId="4" fontId="1" fillId="0" borderId="10" xfId="1" applyNumberFormat="1" applyBorder="1" applyAlignment="1" applyProtection="1">
      <alignment horizontal="left" vertical="center" indent="1"/>
      <protection hidden="1"/>
    </xf>
    <xf numFmtId="4" fontId="46" fillId="0" borderId="17" xfId="1" applyNumberFormat="1" applyFont="1" applyBorder="1" applyAlignment="1" applyProtection="1">
      <alignment horizontal="left" vertical="center" indent="1"/>
      <protection hidden="1"/>
    </xf>
    <xf numFmtId="4" fontId="1" fillId="0" borderId="17" xfId="1" applyNumberFormat="1" applyBorder="1" applyAlignment="1" applyProtection="1">
      <alignment horizontal="left" vertical="center" indent="1"/>
      <protection hidden="1"/>
    </xf>
    <xf numFmtId="4" fontId="4" fillId="0" borderId="16" xfId="1" applyNumberFormat="1" applyFont="1" applyBorder="1" applyAlignment="1" applyProtection="1">
      <alignment horizontal="left" vertical="center" indent="1"/>
      <protection hidden="1"/>
    </xf>
    <xf numFmtId="4" fontId="1" fillId="0" borderId="15" xfId="1" applyNumberFormat="1" applyBorder="1" applyAlignment="1" applyProtection="1">
      <alignment horizontal="center"/>
      <protection hidden="1"/>
    </xf>
    <xf numFmtId="4" fontId="1" fillId="0" borderId="17" xfId="1" quotePrefix="1" applyNumberFormat="1" applyBorder="1" applyAlignment="1" applyProtection="1">
      <alignment horizontal="center"/>
      <protection hidden="1"/>
    </xf>
    <xf numFmtId="4" fontId="10" fillId="0" borderId="10" xfId="1" applyNumberFormat="1" applyFont="1" applyBorder="1" applyAlignment="1" applyProtection="1">
      <alignment horizontal="center"/>
      <protection hidden="1"/>
    </xf>
    <xf numFmtId="0" fontId="67" fillId="0" borderId="0" xfId="0" applyFont="1"/>
    <xf numFmtId="4" fontId="10" fillId="0" borderId="43" xfId="1" applyNumberFormat="1" applyFont="1" applyBorder="1" applyAlignment="1" applyProtection="1">
      <alignment horizontal="center" vertical="center"/>
      <protection hidden="1"/>
    </xf>
    <xf numFmtId="0" fontId="2" fillId="0" borderId="53" xfId="1" applyFont="1" applyBorder="1" applyAlignment="1" applyProtection="1">
      <alignment horizontal="left" vertical="center"/>
      <protection hidden="1"/>
    </xf>
    <xf numFmtId="2" fontId="50" fillId="0" borderId="25" xfId="0" applyNumberFormat="1" applyFont="1" applyBorder="1" applyAlignment="1">
      <alignment vertical="center"/>
    </xf>
    <xf numFmtId="2" fontId="19" fillId="3" borderId="12" xfId="0" applyNumberFormat="1" applyFont="1" applyFill="1" applyBorder="1" applyAlignment="1">
      <alignment horizontal="center" vertical="center"/>
    </xf>
    <xf numFmtId="4" fontId="11" fillId="0" borderId="43" xfId="1" applyNumberFormat="1" applyFont="1" applyBorder="1" applyAlignment="1" applyProtection="1">
      <alignment horizontal="center" vertical="center" wrapText="1"/>
      <protection hidden="1"/>
    </xf>
    <xf numFmtId="4" fontId="1" fillId="0" borderId="15" xfId="1" applyNumberFormat="1" applyBorder="1" applyAlignment="1" applyProtection="1">
      <alignment horizontal="left" vertical="center" wrapText="1"/>
      <protection hidden="1"/>
    </xf>
    <xf numFmtId="4" fontId="1" fillId="0" borderId="0" xfId="1" applyNumberFormat="1" applyAlignment="1" applyProtection="1">
      <alignment horizontal="left" vertical="center" wrapText="1"/>
      <protection hidden="1"/>
    </xf>
    <xf numFmtId="9" fontId="16" fillId="0" borderId="11" xfId="1" applyNumberFormat="1" applyFont="1" applyBorder="1" applyAlignment="1" applyProtection="1">
      <alignment horizontal="center" vertical="center" wrapText="1"/>
      <protection hidden="1"/>
    </xf>
    <xf numFmtId="2" fontId="2" fillId="0" borderId="7" xfId="1" applyNumberFormat="1" applyFont="1" applyBorder="1" applyAlignment="1" applyProtection="1">
      <alignment horizontal="center" vertical="center"/>
      <protection hidden="1"/>
    </xf>
    <xf numFmtId="4" fontId="1" fillId="0" borderId="6" xfId="1" applyNumberFormat="1" applyBorder="1" applyAlignment="1" applyProtection="1">
      <alignment horizontal="left" vertical="center" wrapText="1"/>
      <protection hidden="1"/>
    </xf>
    <xf numFmtId="4" fontId="1" fillId="0" borderId="7" xfId="1" applyNumberFormat="1" applyBorder="1" applyAlignment="1" applyProtection="1">
      <alignment horizontal="left" vertical="center" wrapText="1"/>
      <protection hidden="1"/>
    </xf>
    <xf numFmtId="0" fontId="17" fillId="0" borderId="0" xfId="1" applyFont="1" applyAlignment="1" applyProtection="1">
      <alignment horizontal="center" vertical="justify" wrapText="1"/>
      <protection hidden="1"/>
    </xf>
    <xf numFmtId="0" fontId="17" fillId="0" borderId="19" xfId="1" applyFont="1" applyBorder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166" fontId="14" fillId="2" borderId="21" xfId="1" applyNumberFormat="1" applyFont="1" applyFill="1" applyBorder="1" applyAlignment="1" applyProtection="1">
      <alignment horizontal="center" vertical="center"/>
      <protection hidden="1"/>
    </xf>
    <xf numFmtId="166" fontId="14" fillId="2" borderId="22" xfId="1" applyNumberFormat="1" applyFont="1" applyFill="1" applyBorder="1" applyAlignment="1" applyProtection="1">
      <alignment horizontal="center" vertical="center"/>
      <protection hidden="1"/>
    </xf>
    <xf numFmtId="9" fontId="6" fillId="0" borderId="11" xfId="1" applyNumberFormat="1" applyFont="1" applyBorder="1" applyAlignment="1" applyProtection="1">
      <alignment horizontal="center" vertical="center" wrapText="1"/>
      <protection hidden="1"/>
    </xf>
    <xf numFmtId="0" fontId="6" fillId="0" borderId="26" xfId="1" applyFont="1" applyBorder="1" applyAlignment="1" applyProtection="1">
      <alignment horizontal="center" vertical="center" wrapText="1"/>
      <protection hidden="1"/>
    </xf>
    <xf numFmtId="9" fontId="6" fillId="0" borderId="9" xfId="1" applyNumberFormat="1" applyFont="1" applyBorder="1" applyAlignment="1" applyProtection="1">
      <alignment horizontal="center" vertical="center" wrapText="1"/>
      <protection hidden="1"/>
    </xf>
    <xf numFmtId="2" fontId="2" fillId="0" borderId="62" xfId="1" applyNumberFormat="1" applyFont="1" applyBorder="1" applyAlignment="1" applyProtection="1">
      <alignment horizontal="center" vertical="center"/>
      <protection hidden="1"/>
    </xf>
    <xf numFmtId="0" fontId="16" fillId="0" borderId="63" xfId="1" applyFont="1" applyBorder="1" applyAlignment="1" applyProtection="1">
      <alignment horizontal="center" vertical="center"/>
      <protection hidden="1"/>
    </xf>
    <xf numFmtId="0" fontId="16" fillId="0" borderId="62" xfId="1" applyFont="1" applyBorder="1" applyAlignment="1" applyProtection="1">
      <alignment horizontal="center" vertical="center"/>
      <protection hidden="1"/>
    </xf>
    <xf numFmtId="164" fontId="2" fillId="0" borderId="10" xfId="1" applyNumberFormat="1" applyFont="1" applyBorder="1" applyAlignment="1" applyProtection="1">
      <alignment horizontal="center" vertical="center"/>
      <protection hidden="1"/>
    </xf>
    <xf numFmtId="0" fontId="16" fillId="0" borderId="53" xfId="1" applyFont="1" applyBorder="1" applyAlignment="1" applyProtection="1">
      <alignment horizontal="center" vertical="center"/>
      <protection hidden="1"/>
    </xf>
    <xf numFmtId="0" fontId="14" fillId="0" borderId="53" xfId="1" applyFont="1" applyBorder="1" applyAlignment="1" applyProtection="1">
      <alignment horizontal="center" vertical="center"/>
      <protection hidden="1"/>
    </xf>
    <xf numFmtId="9" fontId="16" fillId="0" borderId="63" xfId="1" applyNumberFormat="1" applyFont="1" applyBorder="1" applyAlignment="1" applyProtection="1">
      <alignment horizontal="center" vertical="center" wrapText="1"/>
      <protection hidden="1"/>
    </xf>
    <xf numFmtId="4" fontId="1" fillId="0" borderId="20" xfId="1" applyNumberFormat="1" applyBorder="1" applyAlignment="1" applyProtection="1">
      <alignment horizontal="center"/>
      <protection hidden="1"/>
    </xf>
    <xf numFmtId="4" fontId="1" fillId="0" borderId="16" xfId="1" applyNumberFormat="1" applyBorder="1" applyAlignment="1" applyProtection="1">
      <alignment horizontal="center"/>
      <protection hidden="1"/>
    </xf>
    <xf numFmtId="4" fontId="46" fillId="0" borderId="10" xfId="1" applyNumberFormat="1" applyFont="1" applyBorder="1" applyAlignment="1" applyProtection="1">
      <alignment horizontal="center"/>
      <protection hidden="1"/>
    </xf>
    <xf numFmtId="0" fontId="0" fillId="3" borderId="0" xfId="0" applyFill="1"/>
    <xf numFmtId="4" fontId="2" fillId="0" borderId="20" xfId="1" applyNumberFormat="1" applyFont="1" applyBorder="1" applyAlignment="1" applyProtection="1">
      <alignment horizontal="center" vertical="center"/>
      <protection hidden="1"/>
    </xf>
    <xf numFmtId="2" fontId="2" fillId="0" borderId="52" xfId="1" applyNumberFormat="1" applyFont="1" applyBorder="1" applyAlignment="1" applyProtection="1">
      <alignment horizontal="center" vertical="center"/>
      <protection hidden="1"/>
    </xf>
    <xf numFmtId="2" fontId="2" fillId="0" borderId="20" xfId="1" applyNumberFormat="1" applyFont="1" applyBorder="1" applyAlignment="1" applyProtection="1">
      <alignment horizontal="center" vertical="center"/>
      <protection hidden="1"/>
    </xf>
    <xf numFmtId="0" fontId="1" fillId="0" borderId="0" xfId="4"/>
    <xf numFmtId="0" fontId="1" fillId="0" borderId="0" xfId="4" applyAlignment="1">
      <alignment horizontal="center"/>
    </xf>
    <xf numFmtId="0" fontId="1" fillId="0" borderId="0" xfId="4" applyAlignment="1">
      <alignment horizontal="left" vertical="center"/>
    </xf>
    <xf numFmtId="0" fontId="68" fillId="0" borderId="18" xfId="4" applyFont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justify" wrapText="1"/>
    </xf>
    <xf numFmtId="0" fontId="12" fillId="0" borderId="0" xfId="4" applyFont="1" applyAlignment="1">
      <alignment horizontal="center" vertical="justify" wrapText="1"/>
    </xf>
    <xf numFmtId="0" fontId="3" fillId="0" borderId="0" xfId="4" applyFont="1" applyAlignment="1">
      <alignment horizontal="center" vertical="justify" wrapText="1"/>
    </xf>
    <xf numFmtId="0" fontId="1" fillId="0" borderId="13" xfId="4" applyBorder="1" applyAlignment="1">
      <alignment horizontal="center"/>
    </xf>
    <xf numFmtId="4" fontId="7" fillId="0" borderId="19" xfId="4" applyNumberFormat="1" applyFont="1" applyBorder="1" applyAlignment="1">
      <alignment horizontal="center" vertical="justify" wrapText="1"/>
    </xf>
    <xf numFmtId="4" fontId="7" fillId="0" borderId="0" xfId="4" applyNumberFormat="1" applyFont="1" applyAlignment="1">
      <alignment horizontal="center" vertical="justify" wrapText="1"/>
    </xf>
    <xf numFmtId="0" fontId="7" fillId="0" borderId="0" xfId="4" applyFont="1"/>
    <xf numFmtId="168" fontId="1" fillId="0" borderId="52" xfId="3" applyFont="1" applyBorder="1" applyAlignment="1">
      <alignment horizontal="center" vertical="center"/>
    </xf>
    <xf numFmtId="4" fontId="2" fillId="0" borderId="19" xfId="4" applyNumberFormat="1" applyFont="1" applyBorder="1" applyAlignment="1">
      <alignment vertical="justify" wrapText="1"/>
    </xf>
    <xf numFmtId="4" fontId="2" fillId="0" borderId="0" xfId="4" applyNumberFormat="1" applyFont="1" applyAlignment="1">
      <alignment vertical="justify" wrapText="1"/>
    </xf>
    <xf numFmtId="4" fontId="8" fillId="0" borderId="19" xfId="4" applyNumberFormat="1" applyFont="1" applyBorder="1" applyAlignment="1">
      <alignment horizontal="center"/>
    </xf>
    <xf numFmtId="4" fontId="8" fillId="0" borderId="0" xfId="4" applyNumberFormat="1" applyFont="1" applyAlignment="1">
      <alignment horizontal="center"/>
    </xf>
    <xf numFmtId="168" fontId="14" fillId="0" borderId="52" xfId="3" applyFont="1" applyBorder="1" applyAlignment="1">
      <alignment horizontal="center" vertical="center"/>
    </xf>
    <xf numFmtId="4" fontId="14" fillId="0" borderId="19" xfId="4" quotePrefix="1" applyNumberFormat="1" applyFont="1" applyBorder="1" applyAlignment="1">
      <alignment horizontal="left"/>
    </xf>
    <xf numFmtId="4" fontId="2" fillId="0" borderId="0" xfId="4" applyNumberFormat="1" applyFont="1" applyAlignment="1">
      <alignment horizontal="center"/>
    </xf>
    <xf numFmtId="168" fontId="1" fillId="0" borderId="13" xfId="3" applyFont="1" applyBorder="1" applyAlignment="1">
      <alignment horizontal="center" vertical="center"/>
    </xf>
    <xf numFmtId="0" fontId="2" fillId="0" borderId="0" xfId="4" applyFont="1"/>
    <xf numFmtId="4" fontId="25" fillId="0" borderId="19" xfId="4" applyNumberFormat="1" applyFont="1" applyBorder="1" applyAlignment="1">
      <alignment horizontal="left"/>
    </xf>
    <xf numFmtId="4" fontId="69" fillId="0" borderId="19" xfId="4" applyNumberFormat="1" applyFont="1" applyBorder="1" applyAlignment="1">
      <alignment horizontal="left"/>
    </xf>
    <xf numFmtId="4" fontId="2" fillId="0" borderId="19" xfId="4" applyNumberFormat="1" applyFont="1" applyBorder="1" applyAlignment="1">
      <alignment horizontal="left"/>
    </xf>
    <xf numFmtId="4" fontId="32" fillId="0" borderId="0" xfId="4" applyNumberFormat="1" applyFont="1" applyAlignment="1">
      <alignment horizontal="center"/>
    </xf>
    <xf numFmtId="0" fontId="2" fillId="0" borderId="0" xfId="4" applyFont="1" applyAlignment="1">
      <alignment horizontal="center" vertical="justify" wrapText="1"/>
    </xf>
    <xf numFmtId="4" fontId="1" fillId="0" borderId="52" xfId="4" applyNumberFormat="1" applyBorder="1" applyAlignment="1">
      <alignment horizontal="right" vertical="center"/>
    </xf>
    <xf numFmtId="4" fontId="1" fillId="0" borderId="47" xfId="4" applyNumberFormat="1" applyBorder="1" applyAlignment="1">
      <alignment horizontal="right" vertical="center"/>
    </xf>
    <xf numFmtId="168" fontId="1" fillId="0" borderId="59" xfId="3" applyFont="1" applyBorder="1" applyAlignment="1">
      <alignment horizontal="center" vertical="center" wrapText="1"/>
    </xf>
    <xf numFmtId="0" fontId="14" fillId="0" borderId="51" xfId="4" applyFont="1" applyBorder="1" applyAlignment="1">
      <alignment horizontal="center" vertical="center" wrapText="1"/>
    </xf>
    <xf numFmtId="4" fontId="1" fillId="0" borderId="13" xfId="4" applyNumberFormat="1" applyBorder="1" applyAlignment="1">
      <alignment horizontal="right" vertical="center"/>
    </xf>
    <xf numFmtId="0" fontId="1" fillId="0" borderId="19" xfId="4" applyBorder="1"/>
    <xf numFmtId="0" fontId="1" fillId="0" borderId="34" xfId="4" applyBorder="1"/>
    <xf numFmtId="0" fontId="1" fillId="0" borderId="29" xfId="4" applyBorder="1"/>
    <xf numFmtId="0" fontId="1" fillId="0" borderId="54" xfId="4" applyBorder="1" applyAlignment="1">
      <alignment horizontal="right"/>
    </xf>
    <xf numFmtId="0" fontId="14" fillId="0" borderId="61" xfId="4" applyFont="1" applyBorder="1" applyAlignment="1">
      <alignment horizontal="center" vertical="center"/>
    </xf>
    <xf numFmtId="4" fontId="2" fillId="0" borderId="33" xfId="4" applyNumberFormat="1" applyFont="1" applyBorder="1" applyAlignment="1">
      <alignment horizontal="left"/>
    </xf>
    <xf numFmtId="0" fontId="1" fillId="0" borderId="27" xfId="4" applyBorder="1"/>
    <xf numFmtId="4" fontId="1" fillId="0" borderId="61" xfId="4" applyNumberFormat="1" applyBorder="1" applyAlignment="1">
      <alignment horizontal="right" vertical="center"/>
    </xf>
    <xf numFmtId="4" fontId="2" fillId="0" borderId="34" xfId="4" applyNumberFormat="1" applyFont="1" applyBorder="1" applyAlignment="1">
      <alignment horizontal="left"/>
    </xf>
    <xf numFmtId="4" fontId="1" fillId="0" borderId="54" xfId="4" applyNumberFormat="1" applyBorder="1" applyAlignment="1">
      <alignment horizontal="right" vertical="center"/>
    </xf>
    <xf numFmtId="0" fontId="14" fillId="0" borderId="51" xfId="4" applyFont="1" applyBorder="1" applyAlignment="1">
      <alignment horizontal="center" vertical="center"/>
    </xf>
    <xf numFmtId="4" fontId="2" fillId="0" borderId="34" xfId="4" applyNumberFormat="1" applyFont="1" applyBorder="1" applyAlignment="1">
      <alignment horizontal="left" vertical="center"/>
    </xf>
    <xf numFmtId="4" fontId="1" fillId="0" borderId="54" xfId="4" applyNumberFormat="1" applyBorder="1" applyAlignment="1">
      <alignment horizontal="center" vertical="center" wrapText="1"/>
    </xf>
    <xf numFmtId="0" fontId="1" fillId="0" borderId="0" xfId="4" applyAlignment="1">
      <alignment horizontal="center" wrapText="1"/>
    </xf>
    <xf numFmtId="4" fontId="1" fillId="0" borderId="56" xfId="4" applyNumberFormat="1" applyBorder="1" applyAlignment="1">
      <alignment horizontal="right" vertical="center"/>
    </xf>
    <xf numFmtId="2" fontId="1" fillId="0" borderId="65" xfId="4" applyNumberFormat="1" applyBorder="1" applyAlignment="1">
      <alignment horizontal="right"/>
    </xf>
    <xf numFmtId="0" fontId="1" fillId="0" borderId="0" xfId="1"/>
    <xf numFmtId="0" fontId="1" fillId="0" borderId="0" xfId="1" applyAlignment="1">
      <alignment horizontal="right"/>
    </xf>
    <xf numFmtId="0" fontId="1" fillId="0" borderId="0" xfId="1" applyAlignment="1">
      <alignment horizontal="left" vertical="center"/>
    </xf>
    <xf numFmtId="0" fontId="68" fillId="0" borderId="18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justify" wrapText="1"/>
    </xf>
    <xf numFmtId="0" fontId="12" fillId="0" borderId="0" xfId="1" applyFont="1" applyAlignment="1">
      <alignment horizontal="center" vertical="justify" wrapText="1"/>
    </xf>
    <xf numFmtId="0" fontId="1" fillId="0" borderId="13" xfId="1" applyBorder="1" applyAlignment="1">
      <alignment horizontal="right"/>
    </xf>
    <xf numFmtId="4" fontId="7" fillId="0" borderId="19" xfId="1" applyNumberFormat="1" applyFont="1" applyBorder="1" applyAlignment="1">
      <alignment horizontal="center" vertical="justify" wrapText="1"/>
    </xf>
    <xf numFmtId="4" fontId="7" fillId="0" borderId="0" xfId="1" applyNumberFormat="1" applyFont="1" applyAlignment="1">
      <alignment horizontal="center" vertical="justify" wrapText="1"/>
    </xf>
    <xf numFmtId="0" fontId="7" fillId="0" borderId="0" xfId="1" applyFont="1"/>
    <xf numFmtId="168" fontId="1" fillId="0" borderId="52" xfId="3" applyFont="1" applyBorder="1" applyAlignment="1">
      <alignment horizontal="right" vertical="center"/>
    </xf>
    <xf numFmtId="4" fontId="2" fillId="0" borderId="19" xfId="1" applyNumberFormat="1" applyFont="1" applyBorder="1" applyAlignment="1">
      <alignment vertical="justify" wrapText="1"/>
    </xf>
    <xf numFmtId="4" fontId="2" fillId="0" borderId="0" xfId="1" applyNumberFormat="1" applyFont="1" applyAlignment="1">
      <alignment vertical="justify" wrapText="1"/>
    </xf>
    <xf numFmtId="4" fontId="8" fillId="0" borderId="19" xfId="1" applyNumberFormat="1" applyFont="1" applyBorder="1" applyAlignment="1">
      <alignment horizontal="center"/>
    </xf>
    <xf numFmtId="4" fontId="8" fillId="0" borderId="0" xfId="1" applyNumberFormat="1" applyFont="1" applyAlignment="1">
      <alignment horizontal="center"/>
    </xf>
    <xf numFmtId="168" fontId="14" fillId="0" borderId="52" xfId="3" applyFont="1" applyBorder="1" applyAlignment="1">
      <alignment horizontal="right" vertical="center"/>
    </xf>
    <xf numFmtId="0" fontId="2" fillId="0" borderId="0" xfId="1" applyFont="1"/>
    <xf numFmtId="168" fontId="1" fillId="0" borderId="18" xfId="3" applyFont="1" applyBorder="1" applyAlignment="1">
      <alignment horizontal="right" vertical="center"/>
    </xf>
    <xf numFmtId="4" fontId="14" fillId="0" borderId="19" xfId="1" quotePrefix="1" applyNumberFormat="1" applyFont="1" applyBorder="1" applyAlignment="1">
      <alignment horizontal="left"/>
    </xf>
    <xf numFmtId="4" fontId="2" fillId="0" borderId="0" xfId="1" applyNumberFormat="1" applyFont="1" applyAlignment="1">
      <alignment horizontal="center"/>
    </xf>
    <xf numFmtId="168" fontId="1" fillId="0" borderId="13" xfId="3" applyFont="1" applyBorder="1" applyAlignment="1">
      <alignment horizontal="right" vertical="center"/>
    </xf>
    <xf numFmtId="4" fontId="14" fillId="0" borderId="19" xfId="1" applyNumberFormat="1" applyFont="1" applyBorder="1" applyAlignment="1">
      <alignment horizontal="left" vertical="center"/>
    </xf>
    <xf numFmtId="4" fontId="14" fillId="0" borderId="0" xfId="1" applyNumberFormat="1" applyFont="1" applyAlignment="1">
      <alignment horizontal="left" vertical="center"/>
    </xf>
    <xf numFmtId="4" fontId="2" fillId="0" borderId="19" xfId="1" applyNumberFormat="1" applyFont="1" applyBorder="1" applyAlignment="1">
      <alignment horizontal="left" vertical="center"/>
    </xf>
    <xf numFmtId="4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4" fontId="2" fillId="0" borderId="19" xfId="1" applyNumberFormat="1" applyFont="1" applyBorder="1" applyAlignment="1">
      <alignment horizontal="left"/>
    </xf>
    <xf numFmtId="4" fontId="2" fillId="0" borderId="0" xfId="1" quotePrefix="1" applyNumberFormat="1" applyFont="1" applyAlignment="1">
      <alignment horizontal="center"/>
    </xf>
    <xf numFmtId="4" fontId="42" fillId="0" borderId="19" xfId="1" applyNumberFormat="1" applyFont="1" applyBorder="1" applyAlignment="1">
      <alignment horizontal="left"/>
    </xf>
    <xf numFmtId="4" fontId="14" fillId="0" borderId="19" xfId="1" applyNumberFormat="1" applyFont="1" applyBorder="1" applyAlignment="1">
      <alignment horizontal="left"/>
    </xf>
    <xf numFmtId="0" fontId="2" fillId="0" borderId="0" xfId="1" applyFont="1" applyAlignment="1">
      <alignment horizontal="center" vertical="justify" wrapText="1"/>
    </xf>
    <xf numFmtId="168" fontId="1" fillId="0" borderId="51" xfId="3" applyFont="1" applyBorder="1" applyAlignment="1">
      <alignment horizontal="right" vertical="center" wrapText="1"/>
    </xf>
    <xf numFmtId="2" fontId="1" fillId="0" borderId="59" xfId="1" applyNumberFormat="1" applyBorder="1" applyAlignment="1">
      <alignment horizontal="right"/>
    </xf>
    <xf numFmtId="0" fontId="1" fillId="0" borderId="19" xfId="1" applyBorder="1"/>
    <xf numFmtId="4" fontId="1" fillId="0" borderId="9" xfId="1" applyNumberFormat="1" applyBorder="1" applyAlignment="1">
      <alignment horizontal="center"/>
    </xf>
    <xf numFmtId="0" fontId="8" fillId="0" borderId="7" xfId="1" applyFont="1" applyBorder="1" applyAlignment="1">
      <alignment vertical="justify" wrapText="1"/>
    </xf>
    <xf numFmtId="0" fontId="8" fillId="0" borderId="8" xfId="1" applyFont="1" applyBorder="1" applyAlignment="1">
      <alignment vertical="justify" wrapText="1"/>
    </xf>
    <xf numFmtId="4" fontId="68" fillId="0" borderId="52" xfId="1" applyNumberFormat="1" applyFont="1" applyBorder="1" applyAlignment="1">
      <alignment horizontal="center" vertical="center" wrapText="1"/>
    </xf>
    <xf numFmtId="4" fontId="1" fillId="0" borderId="26" xfId="1" applyNumberFormat="1" applyBorder="1" applyAlignment="1">
      <alignment horizontal="center"/>
    </xf>
    <xf numFmtId="0" fontId="8" fillId="0" borderId="0" xfId="1" applyFont="1" applyAlignment="1">
      <alignment horizontal="right" vertical="justify" wrapText="1"/>
    </xf>
    <xf numFmtId="0" fontId="8" fillId="0" borderId="20" xfId="1" applyFont="1" applyBorder="1" applyAlignment="1">
      <alignment vertical="justify" wrapText="1"/>
    </xf>
    <xf numFmtId="4" fontId="1" fillId="0" borderId="26" xfId="1" applyNumberFormat="1" applyBorder="1" applyAlignment="1">
      <alignment horizontal="center" vertical="center"/>
    </xf>
    <xf numFmtId="0" fontId="8" fillId="0" borderId="0" xfId="1" applyFont="1" applyAlignment="1">
      <alignment horizontal="right" vertical="center" wrapText="1"/>
    </xf>
    <xf numFmtId="0" fontId="1" fillId="0" borderId="34" xfId="1" applyBorder="1"/>
    <xf numFmtId="4" fontId="72" fillId="0" borderId="52" xfId="1" applyNumberFormat="1" applyFont="1" applyBorder="1" applyAlignment="1">
      <alignment horizontal="center" vertical="center" wrapText="1"/>
    </xf>
    <xf numFmtId="0" fontId="1" fillId="0" borderId="0" xfId="1" quotePrefix="1"/>
    <xf numFmtId="0" fontId="1" fillId="0" borderId="29" xfId="1" quotePrefix="1" applyBorder="1"/>
    <xf numFmtId="0" fontId="1" fillId="0" borderId="29" xfId="1" applyBorder="1"/>
    <xf numFmtId="4" fontId="68" fillId="0" borderId="54" xfId="1" applyNumberFormat="1" applyFont="1" applyBorder="1" applyAlignment="1">
      <alignment horizontal="center" vertical="center" wrapText="1"/>
    </xf>
    <xf numFmtId="0" fontId="4" fillId="0" borderId="0" xfId="1" applyFont="1"/>
    <xf numFmtId="4" fontId="8" fillId="0" borderId="7" xfId="1" applyNumberFormat="1" applyFont="1" applyBorder="1" applyAlignment="1">
      <alignment horizontal="center" vertical="justify" wrapText="1"/>
    </xf>
    <xf numFmtId="4" fontId="8" fillId="0" borderId="7" xfId="1" applyNumberFormat="1" applyFont="1" applyBorder="1" applyAlignment="1">
      <alignment vertical="justify" wrapText="1"/>
    </xf>
    <xf numFmtId="0" fontId="8" fillId="0" borderId="0" xfId="1" applyFont="1" applyAlignment="1">
      <alignment vertical="justify" wrapText="1"/>
    </xf>
    <xf numFmtId="4" fontId="8" fillId="0" borderId="0" xfId="1" applyNumberFormat="1" applyFont="1" applyAlignment="1">
      <alignment horizontal="center" vertical="justify" wrapText="1"/>
    </xf>
    <xf numFmtId="4" fontId="8" fillId="0" borderId="0" xfId="1" applyNumberFormat="1" applyFont="1" applyAlignment="1">
      <alignment vertical="justify" wrapText="1"/>
    </xf>
    <xf numFmtId="0" fontId="14" fillId="0" borderId="67" xfId="1" applyFont="1" applyBorder="1" applyAlignment="1">
      <alignment horizontal="center" vertical="center"/>
    </xf>
    <xf numFmtId="4" fontId="10" fillId="0" borderId="52" xfId="1" applyNumberFormat="1" applyFont="1" applyBorder="1" applyAlignment="1">
      <alignment horizontal="center" vertical="center"/>
    </xf>
    <xf numFmtId="0" fontId="8" fillId="0" borderId="1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4" fontId="8" fillId="0" borderId="0" xfId="1" applyNumberFormat="1" applyFont="1" applyAlignment="1">
      <alignment vertical="center" wrapText="1"/>
    </xf>
    <xf numFmtId="4" fontId="10" fillId="0" borderId="54" xfId="1" applyNumberFormat="1" applyFont="1" applyBorder="1" applyAlignment="1">
      <alignment horizontal="center" vertical="center"/>
    </xf>
    <xf numFmtId="0" fontId="48" fillId="0" borderId="65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4" fontId="2" fillId="0" borderId="11" xfId="1" quotePrefix="1" applyNumberFormat="1" applyFont="1" applyBorder="1" applyAlignment="1">
      <alignment horizontal="center" vertical="center"/>
    </xf>
    <xf numFmtId="4" fontId="14" fillId="0" borderId="21" xfId="1" applyNumberFormat="1" applyFont="1" applyBorder="1" applyAlignment="1">
      <alignment horizontal="center" vertical="center"/>
    </xf>
    <xf numFmtId="0" fontId="1" fillId="0" borderId="0" xfId="1" applyAlignment="1">
      <alignment vertical="center"/>
    </xf>
    <xf numFmtId="4" fontId="2" fillId="0" borderId="43" xfId="1" quotePrefix="1" applyNumberFormat="1" applyFont="1" applyBorder="1" applyAlignment="1">
      <alignment horizontal="center" vertical="center"/>
    </xf>
    <xf numFmtId="4" fontId="2" fillId="0" borderId="63" xfId="1" quotePrefix="1" applyNumberFormat="1" applyFont="1" applyBorder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left" vertical="center"/>
    </xf>
    <xf numFmtId="4" fontId="2" fillId="0" borderId="42" xfId="1" quotePrefix="1" applyNumberFormat="1" applyFont="1" applyBorder="1" applyAlignment="1">
      <alignment horizontal="center" vertical="center"/>
    </xf>
    <xf numFmtId="4" fontId="14" fillId="0" borderId="61" xfId="1" applyNumberFormat="1" applyFont="1" applyBorder="1" applyAlignment="1">
      <alignment horizontal="center" vertical="center"/>
    </xf>
    <xf numFmtId="4" fontId="14" fillId="0" borderId="52" xfId="1" applyNumberFormat="1" applyFont="1" applyBorder="1" applyAlignment="1">
      <alignment horizontal="center" vertical="center"/>
    </xf>
    <xf numFmtId="4" fontId="14" fillId="0" borderId="54" xfId="1" applyNumberFormat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10" fillId="0" borderId="20" xfId="1" applyFont="1" applyBorder="1" applyAlignment="1">
      <alignment horizontal="center"/>
    </xf>
    <xf numFmtId="0" fontId="1" fillId="0" borderId="20" xfId="1" applyBorder="1"/>
    <xf numFmtId="4" fontId="14" fillId="0" borderId="12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4" fontId="1" fillId="0" borderId="26" xfId="1" applyNumberFormat="1" applyBorder="1" applyAlignment="1">
      <alignment horizontal="center" vertical="justify" wrapText="1"/>
    </xf>
    <xf numFmtId="4" fontId="1" fillId="0" borderId="0" xfId="1" applyNumberFormat="1" applyAlignment="1">
      <alignment horizontal="center" vertical="justify" wrapText="1"/>
    </xf>
    <xf numFmtId="4" fontId="1" fillId="0" borderId="20" xfId="1" applyNumberFormat="1" applyBorder="1" applyAlignment="1">
      <alignment horizontal="center" vertical="justify" wrapText="1"/>
    </xf>
    <xf numFmtId="4" fontId="10" fillId="0" borderId="20" xfId="1" applyNumberFormat="1" applyFont="1" applyBorder="1" applyAlignment="1">
      <alignment horizontal="center" vertical="center"/>
    </xf>
    <xf numFmtId="4" fontId="1" fillId="0" borderId="0" xfId="1" applyNumberFormat="1" applyAlignment="1">
      <alignment horizontal="center"/>
    </xf>
    <xf numFmtId="4" fontId="2" fillId="0" borderId="26" xfId="1" applyNumberFormat="1" applyFont="1" applyBorder="1" applyAlignment="1">
      <alignment horizontal="left" vertical="center" wrapText="1" indent="1"/>
    </xf>
    <xf numFmtId="4" fontId="2" fillId="0" borderId="0" xfId="1" applyNumberFormat="1" applyFont="1" applyAlignment="1">
      <alignment horizontal="left" vertical="center" wrapText="1" indent="1"/>
    </xf>
    <xf numFmtId="4" fontId="14" fillId="0" borderId="10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justify" wrapText="1"/>
    </xf>
    <xf numFmtId="4" fontId="10" fillId="0" borderId="11" xfId="1" applyNumberFormat="1" applyFont="1" applyBorder="1" applyAlignment="1">
      <alignment horizontal="center" vertical="justify" wrapText="1"/>
    </xf>
    <xf numFmtId="4" fontId="10" fillId="0" borderId="43" xfId="1" applyNumberFormat="1" applyFont="1" applyBorder="1" applyAlignment="1">
      <alignment horizontal="center" vertical="justify" wrapText="1"/>
    </xf>
    <xf numFmtId="0" fontId="2" fillId="0" borderId="0" xfId="1" applyFont="1" applyAlignment="1">
      <alignment horizontal="left"/>
    </xf>
    <xf numFmtId="4" fontId="2" fillId="0" borderId="17" xfId="1" applyNumberFormat="1" applyFont="1" applyBorder="1" applyAlignment="1">
      <alignment horizontal="left" vertical="justify" wrapText="1" indent="1"/>
    </xf>
    <xf numFmtId="4" fontId="2" fillId="0" borderId="15" xfId="1" applyNumberFormat="1" applyFont="1" applyBorder="1" applyAlignment="1">
      <alignment horizontal="left" vertical="justify" wrapText="1" indent="1"/>
    </xf>
    <xf numFmtId="4" fontId="14" fillId="0" borderId="10" xfId="1" applyNumberFormat="1" applyFont="1" applyBorder="1" applyAlignment="1">
      <alignment horizontal="center" vertical="justify" wrapText="1"/>
    </xf>
    <xf numFmtId="0" fontId="12" fillId="0" borderId="26" xfId="1" applyFont="1" applyBorder="1" applyAlignment="1">
      <alignment horizontal="center" vertical="justify" wrapText="1"/>
    </xf>
    <xf numFmtId="0" fontId="12" fillId="0" borderId="20" xfId="1" applyFont="1" applyBorder="1" applyAlignment="1">
      <alignment horizontal="center" vertical="justify" wrapText="1"/>
    </xf>
    <xf numFmtId="4" fontId="14" fillId="0" borderId="20" xfId="1" applyNumberFormat="1" applyFont="1" applyBorder="1" applyAlignment="1">
      <alignment horizontal="center" vertical="center"/>
    </xf>
    <xf numFmtId="4" fontId="1" fillId="0" borderId="20" xfId="1" applyNumberFormat="1" applyBorder="1" applyAlignment="1">
      <alignment horizontal="center"/>
    </xf>
    <xf numFmtId="4" fontId="10" fillId="0" borderId="43" xfId="1" applyNumberFormat="1" applyFont="1" applyBorder="1" applyAlignment="1">
      <alignment horizontal="center" vertical="center"/>
    </xf>
    <xf numFmtId="0" fontId="14" fillId="0" borderId="20" xfId="1" applyFont="1" applyBorder="1"/>
    <xf numFmtId="2" fontId="14" fillId="0" borderId="20" xfId="1" applyNumberFormat="1" applyFont="1" applyBorder="1" applyAlignment="1">
      <alignment horizontal="center" vertical="center"/>
    </xf>
    <xf numFmtId="4" fontId="1" fillId="0" borderId="26" xfId="1" applyNumberFormat="1" applyBorder="1" applyAlignment="1">
      <alignment horizontal="left"/>
    </xf>
    <xf numFmtId="0" fontId="2" fillId="0" borderId="0" xfId="1" applyFont="1" applyAlignment="1">
      <alignment horizontal="center" vertical="center"/>
    </xf>
    <xf numFmtId="4" fontId="1" fillId="0" borderId="0" xfId="1" applyNumberFormat="1" applyAlignment="1">
      <alignment horizontal="center" vertical="center" wrapText="1"/>
    </xf>
    <xf numFmtId="4" fontId="1" fillId="0" borderId="20" xfId="1" applyNumberFormat="1" applyBorder="1" applyAlignment="1">
      <alignment horizontal="center" vertical="center" wrapText="1"/>
    </xf>
    <xf numFmtId="0" fontId="24" fillId="0" borderId="0" xfId="1" applyFont="1" applyAlignment="1">
      <alignment vertical="center" wrapText="1"/>
    </xf>
    <xf numFmtId="0" fontId="8" fillId="0" borderId="26" xfId="1" applyFont="1" applyBorder="1" applyAlignment="1">
      <alignment vertical="center"/>
    </xf>
    <xf numFmtId="0" fontId="23" fillId="0" borderId="26" xfId="1" applyFont="1" applyBorder="1" applyAlignment="1">
      <alignment vertical="center"/>
    </xf>
    <xf numFmtId="0" fontId="23" fillId="0" borderId="0" xfId="1" applyFont="1" applyAlignment="1">
      <alignment vertical="center"/>
    </xf>
    <xf numFmtId="0" fontId="2" fillId="0" borderId="17" xfId="1" applyFont="1" applyBorder="1"/>
    <xf numFmtId="0" fontId="2" fillId="0" borderId="15" xfId="1" applyFont="1" applyBorder="1"/>
    <xf numFmtId="0" fontId="2" fillId="0" borderId="10" xfId="1" applyFont="1" applyBorder="1"/>
    <xf numFmtId="0" fontId="14" fillId="0" borderId="12" xfId="1" applyFont="1" applyBorder="1"/>
    <xf numFmtId="0" fontId="2" fillId="0" borderId="12" xfId="1" applyFont="1" applyBorder="1"/>
    <xf numFmtId="0" fontId="1" fillId="0" borderId="12" xfId="1" applyBorder="1"/>
    <xf numFmtId="4" fontId="1" fillId="0" borderId="12" xfId="1" applyNumberFormat="1" applyBorder="1" applyAlignment="1">
      <alignment horizontal="center"/>
    </xf>
    <xf numFmtId="0" fontId="1" fillId="0" borderId="12" xfId="1" quotePrefix="1" applyBorder="1"/>
    <xf numFmtId="4" fontId="10" fillId="0" borderId="12" xfId="1" applyNumberFormat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4" fontId="1" fillId="0" borderId="26" xfId="1" applyNumberFormat="1" applyBorder="1" applyAlignment="1">
      <alignment horizontal="left" vertical="center" wrapText="1"/>
    </xf>
    <xf numFmtId="4" fontId="2" fillId="0" borderId="53" xfId="0" applyNumberFormat="1" applyFont="1" applyBorder="1" applyAlignment="1">
      <alignment horizontal="center" vertical="center"/>
    </xf>
    <xf numFmtId="170" fontId="1" fillId="0" borderId="0" xfId="1" applyNumberFormat="1" applyProtection="1">
      <protection hidden="1"/>
    </xf>
    <xf numFmtId="43" fontId="1" fillId="0" borderId="0" xfId="5" applyFont="1" applyProtection="1">
      <protection hidden="1"/>
    </xf>
    <xf numFmtId="4" fontId="1" fillId="0" borderId="11" xfId="1" applyNumberFormat="1" applyBorder="1" applyAlignment="1" applyProtection="1">
      <alignment horizontal="center" vertical="center"/>
      <protection hidden="1"/>
    </xf>
    <xf numFmtId="2" fontId="58" fillId="0" borderId="23" xfId="0" applyNumberFormat="1" applyFont="1" applyBorder="1" applyAlignment="1">
      <alignment horizontal="center" vertical="center"/>
    </xf>
    <xf numFmtId="2" fontId="58" fillId="0" borderId="24" xfId="0" applyNumberFormat="1" applyFont="1" applyBorder="1" applyAlignment="1">
      <alignment horizontal="center" vertical="center"/>
    </xf>
    <xf numFmtId="0" fontId="56" fillId="0" borderId="23" xfId="0" applyFont="1" applyBorder="1" applyAlignment="1">
      <alignment horizontal="center" vertical="center"/>
    </xf>
    <xf numFmtId="0" fontId="56" fillId="0" borderId="24" xfId="0" applyFont="1" applyBorder="1" applyAlignment="1">
      <alignment horizontal="center" vertical="center"/>
    </xf>
    <xf numFmtId="0" fontId="56" fillId="0" borderId="25" xfId="0" applyFont="1" applyBorder="1" applyAlignment="1">
      <alignment horizontal="center" vertical="center"/>
    </xf>
    <xf numFmtId="0" fontId="3" fillId="0" borderId="0" xfId="0" applyFont="1" applyAlignment="1">
      <alignment vertical="justify" wrapText="1"/>
    </xf>
    <xf numFmtId="0" fontId="3" fillId="0" borderId="20" xfId="0" applyFont="1" applyBorder="1" applyAlignment="1">
      <alignment vertical="justify" wrapText="1"/>
    </xf>
    <xf numFmtId="0" fontId="3" fillId="0" borderId="0" xfId="0" applyFont="1" applyAlignment="1">
      <alignment horizontal="left" vertical="justify" wrapText="1"/>
    </xf>
    <xf numFmtId="0" fontId="10" fillId="0" borderId="0" xfId="0" applyFont="1" applyAlignment="1">
      <alignment vertical="justify" wrapText="1"/>
    </xf>
    <xf numFmtId="0" fontId="54" fillId="0" borderId="0" xfId="0" applyFont="1" applyAlignment="1">
      <alignment horizontal="left" vertical="justify" wrapText="1"/>
    </xf>
    <xf numFmtId="0" fontId="54" fillId="0" borderId="20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3" fillId="0" borderId="33" xfId="0" applyFont="1" applyBorder="1" applyAlignment="1">
      <alignment horizontal="center" vertical="justify" wrapText="1"/>
    </xf>
    <xf numFmtId="0" fontId="3" fillId="0" borderId="27" xfId="0" applyFont="1" applyBorder="1" applyAlignment="1">
      <alignment horizontal="center" vertical="justify" wrapText="1"/>
    </xf>
    <xf numFmtId="0" fontId="3" fillId="0" borderId="35" xfId="0" applyFont="1" applyBorder="1" applyAlignment="1">
      <alignment horizontal="center" vertical="justify" wrapText="1"/>
    </xf>
    <xf numFmtId="0" fontId="3" fillId="0" borderId="34" xfId="0" applyFont="1" applyBorder="1" applyAlignment="1">
      <alignment horizontal="center" vertical="justify" wrapText="1"/>
    </xf>
    <xf numFmtId="0" fontId="3" fillId="0" borderId="29" xfId="0" applyFont="1" applyBorder="1" applyAlignment="1">
      <alignment horizontal="center" vertical="justify" wrapText="1"/>
    </xf>
    <xf numFmtId="0" fontId="3" fillId="0" borderId="36" xfId="0" applyFont="1" applyBorder="1" applyAlignment="1">
      <alignment horizontal="center" vertical="justify" wrapText="1"/>
    </xf>
    <xf numFmtId="0" fontId="8" fillId="0" borderId="27" xfId="0" applyFont="1" applyBorder="1" applyAlignment="1">
      <alignment horizontal="center" vertical="justify" wrapText="1"/>
    </xf>
    <xf numFmtId="0" fontId="8" fillId="0" borderId="41" xfId="0" applyFont="1" applyBorder="1" applyAlignment="1">
      <alignment horizontal="center" vertical="justify" wrapText="1"/>
    </xf>
    <xf numFmtId="0" fontId="56" fillId="0" borderId="12" xfId="0" applyFont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0" fontId="8" fillId="0" borderId="0" xfId="0" applyFont="1" applyAlignment="1">
      <alignment horizontal="left" wrapText="1"/>
    </xf>
    <xf numFmtId="0" fontId="8" fillId="0" borderId="20" xfId="0" applyFont="1" applyBorder="1" applyAlignment="1">
      <alignment horizontal="left" wrapText="1"/>
    </xf>
    <xf numFmtId="0" fontId="3" fillId="0" borderId="0" xfId="0" applyFont="1" applyAlignment="1">
      <alignment horizontal="center" vertical="justify" wrapText="1"/>
    </xf>
    <xf numFmtId="0" fontId="8" fillId="0" borderId="0" xfId="0" applyFont="1" applyAlignment="1">
      <alignment horizontal="justify" wrapText="1"/>
    </xf>
    <xf numFmtId="0" fontId="8" fillId="0" borderId="20" xfId="0" applyFont="1" applyBorder="1" applyAlignment="1">
      <alignment horizontal="justify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 vertical="justify" wrapText="1"/>
    </xf>
    <xf numFmtId="0" fontId="8" fillId="0" borderId="20" xfId="0" applyFont="1" applyBorder="1" applyAlignment="1">
      <alignment horizontal="left" vertical="justify" wrapText="1"/>
    </xf>
    <xf numFmtId="0" fontId="8" fillId="0" borderId="0" xfId="0" applyFont="1" applyAlignment="1">
      <alignment vertical="justify" wrapText="1"/>
    </xf>
    <xf numFmtId="0" fontId="3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2" fontId="10" fillId="0" borderId="11" xfId="0" applyNumberFormat="1" applyFont="1" applyBorder="1" applyAlignment="1">
      <alignment horizontal="center" vertical="center"/>
    </xf>
    <xf numFmtId="2" fontId="10" fillId="0" borderId="43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vertical="justify" wrapText="1"/>
    </xf>
    <xf numFmtId="0" fontId="50" fillId="0" borderId="0" xfId="0" applyFont="1" applyAlignment="1">
      <alignment horizontal="justify" vertical="justify" wrapText="1"/>
    </xf>
    <xf numFmtId="0" fontId="50" fillId="0" borderId="20" xfId="0" applyFont="1" applyBorder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  <xf numFmtId="0" fontId="8" fillId="0" borderId="20" xfId="0" applyFont="1" applyBorder="1" applyAlignment="1">
      <alignment horizontal="justify" vertical="justify" wrapText="1"/>
    </xf>
    <xf numFmtId="0" fontId="23" fillId="0" borderId="0" xfId="0" applyFont="1" applyAlignment="1">
      <alignment vertical="justify" wrapText="1"/>
    </xf>
    <xf numFmtId="0" fontId="23" fillId="0" borderId="0" xfId="0" quotePrefix="1" applyFont="1" applyAlignment="1">
      <alignment vertical="justify" wrapText="1"/>
    </xf>
    <xf numFmtId="4" fontId="8" fillId="0" borderId="0" xfId="0" applyNumberFormat="1" applyFont="1" applyAlignment="1">
      <alignment horizontal="justify" vertical="center" wrapText="1"/>
    </xf>
    <xf numFmtId="4" fontId="8" fillId="0" borderId="20" xfId="0" applyNumberFormat="1" applyFont="1" applyBorder="1" applyAlignment="1">
      <alignment horizontal="justify" vertical="center" wrapText="1"/>
    </xf>
    <xf numFmtId="4" fontId="3" fillId="0" borderId="0" xfId="0" quotePrefix="1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4" fontId="8" fillId="0" borderId="0" xfId="0" applyNumberFormat="1" applyFont="1" applyAlignment="1">
      <alignment horizontal="left"/>
    </xf>
    <xf numFmtId="0" fontId="3" fillId="0" borderId="20" xfId="0" applyFont="1" applyBorder="1" applyAlignment="1">
      <alignment horizontal="center" vertical="justify" wrapText="1"/>
    </xf>
    <xf numFmtId="0" fontId="23" fillId="0" borderId="20" xfId="0" applyFont="1" applyBorder="1" applyAlignment="1">
      <alignment vertical="justify" wrapText="1"/>
    </xf>
    <xf numFmtId="0" fontId="22" fillId="0" borderId="0" xfId="0" applyFont="1" applyAlignment="1">
      <alignment vertical="justify" wrapText="1"/>
    </xf>
    <xf numFmtId="0" fontId="22" fillId="0" borderId="20" xfId="0" applyFont="1" applyBorder="1" applyAlignment="1">
      <alignment vertical="justify" wrapText="1"/>
    </xf>
    <xf numFmtId="0" fontId="8" fillId="0" borderId="0" xfId="0" applyFont="1" applyAlignment="1">
      <alignment horizontal="center" vertical="justify" wrapText="1"/>
    </xf>
    <xf numFmtId="0" fontId="8" fillId="0" borderId="20" xfId="0" applyFont="1" applyBorder="1" applyAlignment="1">
      <alignment horizontal="center" vertical="justify" wrapText="1"/>
    </xf>
    <xf numFmtId="0" fontId="8" fillId="0" borderId="12" xfId="0" applyFont="1" applyBorder="1" applyAlignment="1">
      <alignment horizontal="left" vertical="justify" wrapText="1"/>
    </xf>
    <xf numFmtId="0" fontId="8" fillId="0" borderId="23" xfId="0" applyFont="1" applyBorder="1" applyAlignment="1">
      <alignment horizontal="justify" vertical="justify" wrapText="1"/>
    </xf>
    <xf numFmtId="0" fontId="8" fillId="0" borderId="24" xfId="0" applyFont="1" applyBorder="1" applyAlignment="1">
      <alignment horizontal="justify" vertical="justify" wrapText="1"/>
    </xf>
    <xf numFmtId="0" fontId="8" fillId="0" borderId="25" xfId="0" applyFont="1" applyBorder="1" applyAlignment="1">
      <alignment horizontal="justify" vertical="justify" wrapText="1"/>
    </xf>
    <xf numFmtId="0" fontId="8" fillId="0" borderId="12" xfId="0" applyFont="1" applyBorder="1" applyAlignment="1">
      <alignment horizontal="justify" vertical="justify" wrapText="1"/>
    </xf>
    <xf numFmtId="0" fontId="8" fillId="0" borderId="23" xfId="0" applyFont="1" applyBorder="1" applyAlignment="1">
      <alignment horizontal="left" vertical="justify" wrapText="1"/>
    </xf>
    <xf numFmtId="0" fontId="8" fillId="0" borderId="24" xfId="0" applyFont="1" applyBorder="1" applyAlignment="1">
      <alignment horizontal="left" vertical="justify" wrapText="1"/>
    </xf>
    <xf numFmtId="0" fontId="8" fillId="0" borderId="25" xfId="0" applyFont="1" applyBorder="1" applyAlignment="1">
      <alignment horizontal="left" vertical="justify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4" fontId="8" fillId="0" borderId="0" xfId="0" applyNumberFormat="1" applyFont="1" applyAlignment="1">
      <alignment horizontal="center" vertical="justify" wrapText="1"/>
    </xf>
    <xf numFmtId="0" fontId="8" fillId="0" borderId="12" xfId="0" applyFont="1" applyBorder="1" applyAlignment="1">
      <alignment horizontal="justify" vertical="center" wrapText="1"/>
    </xf>
    <xf numFmtId="0" fontId="65" fillId="0" borderId="23" xfId="0" applyFont="1" applyBorder="1" applyAlignment="1">
      <alignment horizontal="left" wrapText="1" indent="1"/>
    </xf>
    <xf numFmtId="0" fontId="65" fillId="0" borderId="24" xfId="0" applyFont="1" applyBorder="1" applyAlignment="1">
      <alignment horizontal="left" wrapText="1" indent="1"/>
    </xf>
    <xf numFmtId="0" fontId="65" fillId="0" borderId="25" xfId="0" applyFont="1" applyBorder="1" applyAlignment="1">
      <alignment horizontal="left" wrapText="1" indent="1"/>
    </xf>
    <xf numFmtId="2" fontId="50" fillId="0" borderId="23" xfId="0" applyNumberFormat="1" applyFont="1" applyBorder="1" applyAlignment="1">
      <alignment horizontal="center" vertical="center"/>
    </xf>
    <xf numFmtId="2" fontId="50" fillId="0" borderId="24" xfId="0" applyNumberFormat="1" applyFont="1" applyBorder="1" applyAlignment="1">
      <alignment horizontal="center" vertical="center"/>
    </xf>
    <xf numFmtId="2" fontId="50" fillId="0" borderId="25" xfId="0" applyNumberFormat="1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justify" wrapText="1"/>
    </xf>
    <xf numFmtId="0" fontId="8" fillId="0" borderId="24" xfId="0" applyFont="1" applyBorder="1" applyAlignment="1">
      <alignment horizontal="center" vertical="justify" wrapText="1"/>
    </xf>
    <xf numFmtId="0" fontId="8" fillId="0" borderId="25" xfId="0" applyFont="1" applyBorder="1" applyAlignment="1">
      <alignment horizontal="center" vertical="justify" wrapText="1"/>
    </xf>
    <xf numFmtId="0" fontId="8" fillId="0" borderId="23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justify" vertical="center" wrapText="1"/>
    </xf>
    <xf numFmtId="0" fontId="8" fillId="0" borderId="25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justify" wrapText="1"/>
    </xf>
    <xf numFmtId="0" fontId="8" fillId="0" borderId="12" xfId="0" applyFont="1" applyBorder="1" applyAlignment="1">
      <alignment vertical="center" wrapText="1"/>
    </xf>
    <xf numFmtId="4" fontId="1" fillId="0" borderId="19" xfId="1" applyNumberFormat="1" applyBorder="1" applyAlignment="1" applyProtection="1">
      <alignment horizontal="left" vertical="center" wrapText="1"/>
      <protection hidden="1"/>
    </xf>
    <xf numFmtId="4" fontId="1" fillId="0" borderId="0" xfId="1" applyNumberFormat="1" applyAlignment="1" applyProtection="1">
      <alignment horizontal="left" vertical="center" wrapText="1"/>
      <protection hidden="1"/>
    </xf>
    <xf numFmtId="4" fontId="1" fillId="0" borderId="20" xfId="1" applyNumberFormat="1" applyBorder="1" applyAlignment="1" applyProtection="1">
      <alignment horizontal="left" vertical="center" wrapText="1"/>
      <protection hidden="1"/>
    </xf>
    <xf numFmtId="4" fontId="38" fillId="0" borderId="19" xfId="1" applyNumberFormat="1" applyFont="1" applyBorder="1" applyAlignment="1" applyProtection="1">
      <alignment horizontal="left" vertical="center" wrapText="1"/>
      <protection hidden="1"/>
    </xf>
    <xf numFmtId="4" fontId="38" fillId="0" borderId="0" xfId="1" applyNumberFormat="1" applyFont="1" applyAlignment="1" applyProtection="1">
      <alignment horizontal="left" vertical="center" wrapText="1"/>
      <protection hidden="1"/>
    </xf>
    <xf numFmtId="4" fontId="38" fillId="0" borderId="20" xfId="1" applyNumberFormat="1" applyFont="1" applyBorder="1" applyAlignment="1" applyProtection="1">
      <alignment horizontal="left" vertical="center" wrapText="1"/>
      <protection hidden="1"/>
    </xf>
    <xf numFmtId="4" fontId="1" fillId="0" borderId="19" xfId="1" applyNumberFormat="1" applyBorder="1" applyAlignment="1" applyProtection="1">
      <alignment horizontal="left" vertical="justify" wrapText="1"/>
      <protection hidden="1"/>
    </xf>
    <xf numFmtId="4" fontId="1" fillId="0" borderId="0" xfId="1" applyNumberFormat="1" applyAlignment="1" applyProtection="1">
      <alignment horizontal="left" vertical="justify" wrapText="1"/>
      <protection hidden="1"/>
    </xf>
    <xf numFmtId="4" fontId="10" fillId="0" borderId="0" xfId="1" applyNumberFormat="1" applyFont="1" applyAlignment="1" applyProtection="1">
      <alignment horizontal="left" vertical="center" wrapText="1"/>
      <protection hidden="1"/>
    </xf>
    <xf numFmtId="4" fontId="10" fillId="0" borderId="20" xfId="1" applyNumberFormat="1" applyFont="1" applyBorder="1" applyAlignment="1" applyProtection="1">
      <alignment horizontal="left" vertical="center" wrapText="1"/>
      <protection hidden="1"/>
    </xf>
    <xf numFmtId="0" fontId="31" fillId="0" borderId="18" xfId="1" applyFont="1" applyBorder="1" applyAlignment="1" applyProtection="1">
      <alignment horizontal="center" vertical="center" wrapText="1"/>
      <protection hidden="1"/>
    </xf>
    <xf numFmtId="0" fontId="31" fillId="0" borderId="59" xfId="1" applyFont="1" applyBorder="1" applyAlignment="1" applyProtection="1">
      <alignment horizontal="center" vertical="center" wrapText="1"/>
      <protection hidden="1"/>
    </xf>
    <xf numFmtId="0" fontId="4" fillId="0" borderId="50" xfId="1" applyFont="1" applyBorder="1" applyAlignment="1" applyProtection="1">
      <alignment horizontal="center" vertical="center"/>
      <protection hidden="1"/>
    </xf>
    <xf numFmtId="0" fontId="4" fillId="0" borderId="51" xfId="1" applyFont="1" applyBorder="1" applyAlignment="1" applyProtection="1">
      <alignment horizontal="center" vertical="center"/>
      <protection hidden="1"/>
    </xf>
    <xf numFmtId="0" fontId="29" fillId="0" borderId="60" xfId="1" applyFont="1" applyBorder="1" applyAlignment="1" applyProtection="1">
      <alignment horizontal="center" vertical="center"/>
      <protection hidden="1"/>
    </xf>
    <xf numFmtId="0" fontId="29" fillId="0" borderId="50" xfId="1" applyFont="1" applyBorder="1" applyAlignment="1" applyProtection="1">
      <alignment horizontal="center" vertical="center"/>
      <protection hidden="1"/>
    </xf>
    <xf numFmtId="0" fontId="17" fillId="0" borderId="19" xfId="1" applyFont="1" applyBorder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7" fillId="0" borderId="20" xfId="1" applyFont="1" applyBorder="1" applyAlignment="1" applyProtection="1">
      <alignment horizontal="center" vertical="center" wrapText="1"/>
      <protection hidden="1"/>
    </xf>
    <xf numFmtId="0" fontId="17" fillId="0" borderId="34" xfId="1" applyFont="1" applyBorder="1" applyAlignment="1" applyProtection="1">
      <alignment horizontal="center" vertical="center" wrapText="1"/>
      <protection hidden="1"/>
    </xf>
    <xf numFmtId="0" fontId="17" fillId="0" borderId="29" xfId="1" applyFont="1" applyBorder="1" applyAlignment="1" applyProtection="1">
      <alignment horizontal="center" vertical="center" wrapText="1"/>
      <protection hidden="1"/>
    </xf>
    <xf numFmtId="0" fontId="17" fillId="0" borderId="62" xfId="1" applyFont="1" applyBorder="1" applyAlignment="1" applyProtection="1">
      <alignment horizontal="center" vertical="center" wrapText="1"/>
      <protection hidden="1"/>
    </xf>
    <xf numFmtId="0" fontId="14" fillId="0" borderId="10" xfId="1" applyFont="1" applyBorder="1" applyAlignment="1" applyProtection="1">
      <alignment horizontal="center" vertical="center"/>
      <protection hidden="1"/>
    </xf>
    <xf numFmtId="0" fontId="14" fillId="0" borderId="53" xfId="1" applyFont="1" applyBorder="1" applyAlignment="1" applyProtection="1">
      <alignment horizontal="center" vertical="center"/>
      <protection hidden="1"/>
    </xf>
    <xf numFmtId="0" fontId="16" fillId="0" borderId="10" xfId="1" applyFont="1" applyBorder="1" applyAlignment="1" applyProtection="1">
      <alignment horizontal="center" vertical="center" wrapText="1"/>
      <protection hidden="1"/>
    </xf>
    <xf numFmtId="0" fontId="16" fillId="0" borderId="53" xfId="1" applyFont="1" applyBorder="1" applyAlignment="1" applyProtection="1">
      <alignment horizontal="center" vertical="center" wrapText="1"/>
      <protection hidden="1"/>
    </xf>
    <xf numFmtId="0" fontId="16" fillId="0" borderId="43" xfId="1" applyFont="1" applyBorder="1" applyAlignment="1" applyProtection="1">
      <alignment horizontal="center" vertical="center" wrapText="1"/>
      <protection hidden="1"/>
    </xf>
    <xf numFmtId="0" fontId="16" fillId="0" borderId="63" xfId="1" applyFont="1" applyBorder="1" applyAlignment="1" applyProtection="1">
      <alignment horizontal="center" vertical="center" wrapText="1"/>
      <protection hidden="1"/>
    </xf>
    <xf numFmtId="0" fontId="30" fillId="0" borderId="43" xfId="1" applyFont="1" applyBorder="1" applyAlignment="1" applyProtection="1">
      <alignment horizontal="center" vertical="center" wrapText="1"/>
      <protection hidden="1"/>
    </xf>
    <xf numFmtId="0" fontId="30" fillId="0" borderId="63" xfId="1" applyFont="1" applyBorder="1" applyAlignment="1" applyProtection="1">
      <alignment horizontal="center" vertical="center" wrapText="1"/>
      <protection hidden="1"/>
    </xf>
    <xf numFmtId="4" fontId="17" fillId="0" borderId="6" xfId="1" applyNumberFormat="1" applyFont="1" applyBorder="1" applyAlignment="1" applyProtection="1">
      <alignment horizontal="center" vertical="center" wrapText="1"/>
      <protection hidden="1"/>
    </xf>
    <xf numFmtId="4" fontId="17" fillId="0" borderId="7" xfId="1" applyNumberFormat="1" applyFont="1" applyBorder="1" applyAlignment="1" applyProtection="1">
      <alignment horizontal="center" vertical="center" wrapText="1"/>
      <protection hidden="1"/>
    </xf>
    <xf numFmtId="4" fontId="17" fillId="0" borderId="8" xfId="1" applyNumberFormat="1" applyFont="1" applyBorder="1" applyAlignment="1" applyProtection="1">
      <alignment horizontal="center" vertical="center" wrapText="1"/>
      <protection hidden="1"/>
    </xf>
    <xf numFmtId="4" fontId="10" fillId="0" borderId="19" xfId="1" applyNumberFormat="1" applyFont="1" applyBorder="1" applyAlignment="1" applyProtection="1">
      <alignment horizontal="left" vertical="center" wrapText="1"/>
      <protection hidden="1"/>
    </xf>
    <xf numFmtId="0" fontId="30" fillId="0" borderId="26" xfId="1" applyFont="1" applyBorder="1" applyAlignment="1" applyProtection="1">
      <alignment horizontal="center" vertical="center" wrapText="1"/>
      <protection hidden="1"/>
    </xf>
    <xf numFmtId="0" fontId="30" fillId="0" borderId="28" xfId="1" applyFont="1" applyBorder="1" applyAlignment="1" applyProtection="1">
      <alignment horizontal="center" vertical="center" wrapText="1"/>
      <protection hidden="1"/>
    </xf>
    <xf numFmtId="4" fontId="3" fillId="0" borderId="6" xfId="1" applyNumberFormat="1" applyFont="1" applyBorder="1" applyAlignment="1" applyProtection="1">
      <alignment horizontal="justify" vertical="center" wrapText="1"/>
      <protection hidden="1"/>
    </xf>
    <xf numFmtId="4" fontId="3" fillId="0" borderId="7" xfId="1" applyNumberFormat="1" applyFont="1" applyBorder="1" applyAlignment="1" applyProtection="1">
      <alignment horizontal="justify" vertical="center" wrapText="1"/>
      <protection hidden="1"/>
    </xf>
    <xf numFmtId="4" fontId="3" fillId="0" borderId="8" xfId="1" applyNumberFormat="1" applyFont="1" applyBorder="1" applyAlignment="1" applyProtection="1">
      <alignment horizontal="justify" vertical="center" wrapText="1"/>
      <protection hidden="1"/>
    </xf>
    <xf numFmtId="4" fontId="10" fillId="8" borderId="23" xfId="1" applyNumberFormat="1" applyFont="1" applyFill="1" applyBorder="1" applyAlignment="1" applyProtection="1">
      <alignment horizontal="center" vertical="center"/>
      <protection hidden="1"/>
    </xf>
    <xf numFmtId="4" fontId="10" fillId="8" borderId="25" xfId="1" applyNumberFormat="1" applyFont="1" applyFill="1" applyBorder="1" applyAlignment="1" applyProtection="1">
      <alignment horizontal="center" vertical="center"/>
      <protection hidden="1"/>
    </xf>
    <xf numFmtId="4" fontId="10" fillId="8" borderId="12" xfId="1" applyNumberFormat="1" applyFont="1" applyFill="1" applyBorder="1" applyAlignment="1" applyProtection="1">
      <alignment horizontal="center" vertical="center"/>
      <protection hidden="1"/>
    </xf>
    <xf numFmtId="0" fontId="1" fillId="0" borderId="37" xfId="1" applyBorder="1" applyAlignment="1" applyProtection="1">
      <alignment horizontal="left" vertical="center" wrapText="1"/>
      <protection hidden="1"/>
    </xf>
    <xf numFmtId="0" fontId="1" fillId="0" borderId="38" xfId="1" applyBorder="1" applyAlignment="1" applyProtection="1">
      <alignment horizontal="left" vertical="center" wrapText="1"/>
      <protection hidden="1"/>
    </xf>
    <xf numFmtId="2" fontId="10" fillId="8" borderId="12" xfId="1" applyNumberFormat="1" applyFont="1" applyFill="1" applyBorder="1" applyAlignment="1" applyProtection="1">
      <alignment horizontal="center" vertical="center" wrapText="1"/>
      <protection hidden="1"/>
    </xf>
    <xf numFmtId="0" fontId="10" fillId="8" borderId="12" xfId="1" applyFont="1" applyFill="1" applyBorder="1" applyAlignment="1" applyProtection="1">
      <alignment horizontal="center" vertical="center" wrapText="1"/>
      <protection hidden="1"/>
    </xf>
    <xf numFmtId="0" fontId="10" fillId="0" borderId="33" xfId="1" applyFont="1" applyBorder="1" applyAlignment="1" applyProtection="1">
      <alignment horizontal="center" vertical="center"/>
      <protection hidden="1"/>
    </xf>
    <xf numFmtId="0" fontId="10" fillId="0" borderId="27" xfId="1" applyFont="1" applyBorder="1" applyAlignment="1" applyProtection="1">
      <alignment horizontal="center" vertical="center"/>
      <protection hidden="1"/>
    </xf>
    <xf numFmtId="0" fontId="10" fillId="0" borderId="35" xfId="1" applyFont="1" applyBorder="1" applyAlignment="1" applyProtection="1">
      <alignment horizontal="center" vertical="center"/>
      <protection hidden="1"/>
    </xf>
    <xf numFmtId="0" fontId="10" fillId="0" borderId="14" xfId="1" applyFont="1" applyBorder="1" applyAlignment="1" applyProtection="1">
      <alignment horizontal="center" vertical="center"/>
      <protection hidden="1"/>
    </xf>
    <xf numFmtId="0" fontId="10" fillId="0" borderId="15" xfId="1" applyFont="1" applyBorder="1" applyAlignment="1" applyProtection="1">
      <alignment horizontal="center" vertical="center"/>
      <protection hidden="1"/>
    </xf>
    <xf numFmtId="0" fontId="10" fillId="0" borderId="22" xfId="1" applyFont="1" applyBorder="1" applyAlignment="1" applyProtection="1">
      <alignment horizontal="center" vertical="center"/>
      <protection hidden="1"/>
    </xf>
    <xf numFmtId="4" fontId="10" fillId="8" borderId="12" xfId="1" applyNumberFormat="1" applyFont="1" applyFill="1" applyBorder="1" applyAlignment="1" applyProtection="1">
      <alignment horizontal="center" vertical="center" wrapText="1"/>
      <protection hidden="1"/>
    </xf>
    <xf numFmtId="4" fontId="10" fillId="0" borderId="48" xfId="1" applyNumberFormat="1" applyFont="1" applyBorder="1" applyAlignment="1" applyProtection="1">
      <alignment horizontal="left" vertical="center" wrapText="1"/>
      <protection hidden="1"/>
    </xf>
    <xf numFmtId="4" fontId="10" fillId="0" borderId="24" xfId="1" applyNumberFormat="1" applyFont="1" applyBorder="1" applyAlignment="1" applyProtection="1">
      <alignment horizontal="left" vertical="center" wrapText="1"/>
      <protection hidden="1"/>
    </xf>
    <xf numFmtId="0" fontId="10" fillId="0" borderId="48" xfId="1" applyFont="1" applyBorder="1" applyAlignment="1" applyProtection="1">
      <alignment horizontal="left" vertical="center" wrapText="1"/>
      <protection hidden="1"/>
    </xf>
    <xf numFmtId="0" fontId="10" fillId="0" borderId="24" xfId="1" applyFont="1" applyBorder="1" applyAlignment="1" applyProtection="1">
      <alignment horizontal="left" vertical="center" wrapText="1"/>
      <protection hidden="1"/>
    </xf>
    <xf numFmtId="0" fontId="10" fillId="0" borderId="49" xfId="1" applyFont="1" applyBorder="1" applyAlignment="1" applyProtection="1">
      <alignment horizontal="left" vertical="center" wrapText="1"/>
      <protection hidden="1"/>
    </xf>
    <xf numFmtId="0" fontId="10" fillId="0" borderId="55" xfId="1" applyFont="1" applyBorder="1" applyAlignment="1" applyProtection="1">
      <alignment horizontal="left" vertical="center" wrapText="1"/>
      <protection hidden="1"/>
    </xf>
    <xf numFmtId="0" fontId="10" fillId="0" borderId="12" xfId="1" applyFont="1" applyBorder="1" applyAlignment="1" applyProtection="1">
      <alignment horizontal="left" vertical="center" wrapText="1"/>
      <protection hidden="1"/>
    </xf>
    <xf numFmtId="0" fontId="10" fillId="0" borderId="47" xfId="1" applyFont="1" applyBorder="1" applyAlignment="1" applyProtection="1">
      <alignment horizontal="left" vertical="center" wrapText="1"/>
      <protection hidden="1"/>
    </xf>
    <xf numFmtId="0" fontId="1" fillId="0" borderId="48" xfId="1" applyBorder="1" applyAlignment="1" applyProtection="1">
      <alignment horizontal="left" vertical="center" wrapText="1"/>
      <protection hidden="1"/>
    </xf>
    <xf numFmtId="0" fontId="1" fillId="0" borderId="24" xfId="1" applyBorder="1" applyAlignment="1" applyProtection="1">
      <alignment horizontal="left" vertical="center" wrapText="1"/>
      <protection hidden="1"/>
    </xf>
    <xf numFmtId="0" fontId="1" fillId="0" borderId="49" xfId="1" applyBorder="1" applyAlignment="1" applyProtection="1">
      <alignment horizontal="left" vertical="center" wrapText="1"/>
      <protection hidden="1"/>
    </xf>
    <xf numFmtId="0" fontId="10" fillId="0" borderId="15" xfId="1" applyFont="1" applyBorder="1" applyAlignment="1" applyProtection="1">
      <alignment horizontal="left" vertical="center" wrapText="1"/>
      <protection hidden="1"/>
    </xf>
    <xf numFmtId="0" fontId="10" fillId="0" borderId="22" xfId="1" applyFont="1" applyBorder="1" applyAlignment="1" applyProtection="1">
      <alignment horizontal="left" vertical="center" wrapText="1"/>
      <protection hidden="1"/>
    </xf>
    <xf numFmtId="0" fontId="16" fillId="0" borderId="50" xfId="1" applyFont="1" applyBorder="1" applyAlignment="1" applyProtection="1">
      <alignment horizontal="center" vertical="center" wrapText="1"/>
      <protection hidden="1"/>
    </xf>
    <xf numFmtId="0" fontId="16" fillId="0" borderId="12" xfId="1" applyFont="1" applyBorder="1" applyAlignment="1" applyProtection="1">
      <alignment horizontal="center" vertical="center" wrapText="1"/>
      <protection hidden="1"/>
    </xf>
    <xf numFmtId="0" fontId="30" fillId="0" borderId="50" xfId="1" applyFont="1" applyBorder="1" applyAlignment="1" applyProtection="1">
      <alignment horizontal="center" vertical="center" wrapText="1"/>
      <protection hidden="1"/>
    </xf>
    <xf numFmtId="0" fontId="30" fillId="0" borderId="12" xfId="1" applyFont="1" applyBorder="1" applyAlignment="1" applyProtection="1">
      <alignment horizontal="center" vertical="center" wrapText="1"/>
      <protection hidden="1"/>
    </xf>
    <xf numFmtId="0" fontId="31" fillId="0" borderId="51" xfId="1" applyFont="1" applyBorder="1" applyAlignment="1" applyProtection="1">
      <alignment horizontal="center" vertical="center" wrapText="1"/>
      <protection hidden="1"/>
    </xf>
    <xf numFmtId="0" fontId="31" fillId="0" borderId="47" xfId="1" applyFont="1" applyBorder="1" applyAlignment="1" applyProtection="1">
      <alignment horizontal="center" vertical="center" wrapText="1"/>
      <protection hidden="1"/>
    </xf>
    <xf numFmtId="4" fontId="38" fillId="0" borderId="19" xfId="1" applyNumberFormat="1" applyFont="1" applyBorder="1" applyAlignment="1" applyProtection="1">
      <alignment horizontal="left" vertical="justify" wrapText="1"/>
      <protection hidden="1"/>
    </xf>
    <xf numFmtId="4" fontId="38" fillId="0" borderId="0" xfId="1" applyNumberFormat="1" applyFont="1" applyAlignment="1" applyProtection="1">
      <alignment horizontal="left" vertical="justify" wrapText="1"/>
      <protection hidden="1"/>
    </xf>
    <xf numFmtId="0" fontId="17" fillId="0" borderId="60" xfId="1" applyFont="1" applyBorder="1" applyAlignment="1" applyProtection="1">
      <alignment horizontal="left" vertical="center" wrapText="1"/>
      <protection hidden="1"/>
    </xf>
    <xf numFmtId="0" fontId="17" fillId="0" borderId="50" xfId="1" applyFont="1" applyBorder="1" applyAlignment="1" applyProtection="1">
      <alignment horizontal="left" vertical="center" wrapText="1"/>
      <protection hidden="1"/>
    </xf>
    <xf numFmtId="0" fontId="17" fillId="0" borderId="55" xfId="1" applyFont="1" applyBorder="1" applyAlignment="1" applyProtection="1">
      <alignment horizontal="left" vertical="center" wrapText="1"/>
      <protection hidden="1"/>
    </xf>
    <xf numFmtId="0" fontId="17" fillId="0" borderId="12" xfId="1" applyFont="1" applyBorder="1" applyAlignment="1" applyProtection="1">
      <alignment horizontal="left" vertical="center" wrapText="1"/>
      <protection hidden="1"/>
    </xf>
    <xf numFmtId="0" fontId="14" fillId="0" borderId="50" xfId="1" applyFont="1" applyBorder="1" applyAlignment="1" applyProtection="1">
      <alignment horizontal="center" vertical="center"/>
      <protection hidden="1"/>
    </xf>
    <xf numFmtId="0" fontId="14" fillId="0" borderId="12" xfId="1" applyFont="1" applyBorder="1" applyAlignment="1" applyProtection="1">
      <alignment horizontal="center" vertical="center"/>
      <protection hidden="1"/>
    </xf>
    <xf numFmtId="9" fontId="16" fillId="0" borderId="50" xfId="1" applyNumberFormat="1" applyFont="1" applyBorder="1" applyAlignment="1" applyProtection="1">
      <alignment horizontal="center" vertical="center" wrapText="1"/>
      <protection hidden="1"/>
    </xf>
    <xf numFmtId="9" fontId="16" fillId="0" borderId="12" xfId="1" applyNumberFormat="1" applyFont="1" applyBorder="1" applyAlignment="1" applyProtection="1">
      <alignment horizontal="center" vertical="center" wrapText="1"/>
      <protection hidden="1"/>
    </xf>
    <xf numFmtId="0" fontId="16" fillId="0" borderId="4" xfId="1" applyFont="1" applyBorder="1" applyAlignment="1" applyProtection="1">
      <alignment horizontal="center" vertical="center" wrapText="1"/>
      <protection hidden="1"/>
    </xf>
    <xf numFmtId="0" fontId="16" fillId="0" borderId="3" xfId="1" applyFont="1" applyBorder="1" applyAlignment="1" applyProtection="1">
      <alignment horizontal="center" vertical="center" wrapText="1"/>
      <protection hidden="1"/>
    </xf>
    <xf numFmtId="0" fontId="16" fillId="0" borderId="42" xfId="1" applyFont="1" applyBorder="1" applyAlignment="1" applyProtection="1">
      <alignment horizontal="center" vertical="center" wrapText="1"/>
      <protection hidden="1"/>
    </xf>
    <xf numFmtId="0" fontId="31" fillId="0" borderId="61" xfId="1" applyFont="1" applyBorder="1" applyAlignment="1" applyProtection="1">
      <alignment horizontal="center" vertical="center" wrapText="1"/>
      <protection hidden="1"/>
    </xf>
    <xf numFmtId="4" fontId="14" fillId="0" borderId="48" xfId="1" applyNumberFormat="1" applyFont="1" applyBorder="1" applyAlignment="1" applyProtection="1">
      <alignment horizontal="center" vertical="center" wrapText="1"/>
      <protection hidden="1"/>
    </xf>
    <xf numFmtId="4" fontId="14" fillId="0" borderId="24" xfId="1" applyNumberFormat="1" applyFont="1" applyBorder="1" applyAlignment="1" applyProtection="1">
      <alignment horizontal="center" vertical="center" wrapText="1"/>
      <protection hidden="1"/>
    </xf>
    <xf numFmtId="0" fontId="3" fillId="0" borderId="30" xfId="1" applyFont="1" applyBorder="1" applyAlignment="1" applyProtection="1">
      <alignment horizontal="center" vertical="center"/>
      <protection hidden="1"/>
    </xf>
    <xf numFmtId="0" fontId="3" fillId="0" borderId="31" xfId="1" applyFont="1" applyBorder="1" applyAlignment="1" applyProtection="1">
      <alignment horizontal="center" vertical="center"/>
      <protection hidden="1"/>
    </xf>
    <xf numFmtId="0" fontId="3" fillId="0" borderId="46" xfId="1" applyFont="1" applyBorder="1" applyAlignment="1" applyProtection="1">
      <alignment horizontal="center" vertical="center"/>
      <protection hidden="1"/>
    </xf>
    <xf numFmtId="0" fontId="4" fillId="0" borderId="45" xfId="1" applyFont="1" applyBorder="1" applyAlignment="1" applyProtection="1">
      <alignment horizontal="center" vertical="center"/>
      <protection hidden="1"/>
    </xf>
    <xf numFmtId="0" fontId="4" fillId="0" borderId="31" xfId="1" applyFont="1" applyBorder="1" applyAlignment="1" applyProtection="1">
      <alignment horizontal="center" vertical="center"/>
      <protection hidden="1"/>
    </xf>
    <xf numFmtId="0" fontId="4" fillId="0" borderId="32" xfId="1" applyFont="1" applyBorder="1" applyAlignment="1" applyProtection="1">
      <alignment horizontal="center" vertical="center"/>
      <protection hidden="1"/>
    </xf>
    <xf numFmtId="0" fontId="35" fillId="4" borderId="1" xfId="1" applyFont="1" applyFill="1" applyBorder="1" applyAlignment="1" applyProtection="1">
      <alignment horizontal="center" vertical="center" wrapText="1"/>
      <protection hidden="1"/>
    </xf>
    <xf numFmtId="0" fontId="35" fillId="4" borderId="2" xfId="1" applyFont="1" applyFill="1" applyBorder="1" applyAlignment="1" applyProtection="1">
      <alignment horizontal="center" vertical="center" wrapText="1"/>
      <protection hidden="1"/>
    </xf>
    <xf numFmtId="0" fontId="35" fillId="4" borderId="3" xfId="1" applyFont="1" applyFill="1" applyBorder="1" applyAlignment="1" applyProtection="1">
      <alignment horizontal="center" vertical="center" wrapText="1"/>
      <protection hidden="1"/>
    </xf>
    <xf numFmtId="0" fontId="3" fillId="0" borderId="19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3" fillId="0" borderId="21" xfId="1" applyFont="1" applyBorder="1" applyAlignment="1" applyProtection="1">
      <alignment horizontal="center" vertical="center" wrapText="1"/>
      <protection hidden="1"/>
    </xf>
    <xf numFmtId="0" fontId="17" fillId="0" borderId="19" xfId="1" applyFont="1" applyBorder="1" applyAlignment="1" applyProtection="1">
      <alignment horizontal="left" vertical="justify" wrapText="1"/>
      <protection hidden="1"/>
    </xf>
    <xf numFmtId="0" fontId="17" fillId="0" borderId="0" xfId="1" applyFont="1" applyAlignment="1" applyProtection="1">
      <alignment horizontal="left" vertical="justify" wrapText="1"/>
      <protection hidden="1"/>
    </xf>
    <xf numFmtId="0" fontId="14" fillId="0" borderId="13" xfId="1" applyFont="1" applyBorder="1" applyAlignment="1" applyProtection="1">
      <alignment horizontal="center" vertical="center" wrapText="1"/>
      <protection hidden="1"/>
    </xf>
    <xf numFmtId="0" fontId="14" fillId="0" borderId="18" xfId="1" applyFont="1" applyBorder="1" applyAlignment="1" applyProtection="1">
      <alignment horizontal="center" vertical="center" wrapText="1"/>
      <protection hidden="1"/>
    </xf>
    <xf numFmtId="164" fontId="2" fillId="0" borderId="35" xfId="1" applyNumberFormat="1" applyFont="1" applyBorder="1" applyAlignment="1" applyProtection="1">
      <alignment horizontal="center" vertical="center"/>
      <protection hidden="1"/>
    </xf>
    <xf numFmtId="164" fontId="2" fillId="0" borderId="36" xfId="1" applyNumberFormat="1" applyFont="1" applyBorder="1" applyAlignment="1" applyProtection="1">
      <alignment horizontal="center" vertical="center"/>
      <protection hidden="1"/>
    </xf>
    <xf numFmtId="0" fontId="13" fillId="0" borderId="2" xfId="1" quotePrefix="1" applyFont="1" applyBorder="1" applyAlignment="1" applyProtection="1">
      <alignment horizontal="center" vertical="center"/>
      <protection hidden="1"/>
    </xf>
    <xf numFmtId="0" fontId="13" fillId="0" borderId="5" xfId="1" quotePrefix="1" applyFont="1" applyBorder="1" applyAlignment="1" applyProtection="1">
      <alignment horizontal="center" vertical="center"/>
      <protection hidden="1"/>
    </xf>
    <xf numFmtId="0" fontId="4" fillId="0" borderId="60" xfId="1" applyFont="1" applyBorder="1" applyAlignment="1" applyProtection="1">
      <alignment horizontal="center" vertical="center"/>
      <protection hidden="1"/>
    </xf>
    <xf numFmtId="0" fontId="15" fillId="0" borderId="11" xfId="1" applyFont="1" applyBorder="1" applyAlignment="1" applyProtection="1">
      <alignment horizontal="center" vertical="center" wrapText="1"/>
      <protection hidden="1"/>
    </xf>
    <xf numFmtId="0" fontId="15" fillId="0" borderId="63" xfId="1" applyFont="1" applyBorder="1" applyAlignment="1" applyProtection="1">
      <alignment horizontal="center" vertical="center" wrapText="1"/>
      <protection hidden="1"/>
    </xf>
    <xf numFmtId="9" fontId="16" fillId="0" borderId="11" xfId="1" applyNumberFormat="1" applyFont="1" applyBorder="1" applyAlignment="1" applyProtection="1">
      <alignment horizontal="center" vertical="center" wrapText="1"/>
      <protection hidden="1"/>
    </xf>
    <xf numFmtId="9" fontId="16" fillId="0" borderId="63" xfId="1" applyNumberFormat="1" applyFont="1" applyBorder="1" applyAlignment="1" applyProtection="1">
      <alignment horizontal="center" vertical="center" wrapText="1"/>
      <protection hidden="1"/>
    </xf>
    <xf numFmtId="0" fontId="16" fillId="0" borderId="11" xfId="1" applyFont="1" applyBorder="1" applyAlignment="1" applyProtection="1">
      <alignment horizontal="center" vertical="center" wrapText="1"/>
      <protection hidden="1"/>
    </xf>
    <xf numFmtId="0" fontId="14" fillId="0" borderId="54" xfId="1" applyFont="1" applyBorder="1" applyAlignment="1" applyProtection="1">
      <alignment horizontal="center" vertical="center" wrapText="1"/>
      <protection hidden="1"/>
    </xf>
    <xf numFmtId="0" fontId="3" fillId="0" borderId="34" xfId="1" applyFont="1" applyBorder="1" applyAlignment="1" applyProtection="1">
      <alignment horizontal="center" vertical="center" wrapText="1"/>
      <protection hidden="1"/>
    </xf>
    <xf numFmtId="0" fontId="3" fillId="0" borderId="29" xfId="1" applyFont="1" applyBorder="1" applyAlignment="1" applyProtection="1">
      <alignment horizontal="center" vertical="center" wrapText="1"/>
      <protection hidden="1"/>
    </xf>
    <xf numFmtId="0" fontId="3" fillId="0" borderId="36" xfId="1" applyFont="1" applyBorder="1" applyAlignment="1" applyProtection="1">
      <alignment horizontal="center" vertical="center" wrapText="1"/>
      <protection hidden="1"/>
    </xf>
    <xf numFmtId="2" fontId="2" fillId="0" borderId="7" xfId="1" applyNumberFormat="1" applyFont="1" applyBorder="1" applyAlignment="1" applyProtection="1">
      <alignment horizontal="center" vertical="center"/>
      <protection hidden="1"/>
    </xf>
    <xf numFmtId="164" fontId="2" fillId="0" borderId="56" xfId="1" applyNumberFormat="1" applyFont="1" applyBorder="1" applyAlignment="1" applyProtection="1">
      <alignment horizontal="center" vertical="center"/>
      <protection hidden="1"/>
    </xf>
    <xf numFmtId="164" fontId="2" fillId="0" borderId="57" xfId="1" applyNumberFormat="1" applyFont="1" applyBorder="1" applyAlignment="1" applyProtection="1">
      <alignment horizontal="center" vertical="center"/>
      <protection hidden="1"/>
    </xf>
    <xf numFmtId="0" fontId="17" fillId="0" borderId="6" xfId="1" applyFont="1" applyBorder="1" applyAlignment="1" applyProtection="1">
      <alignment horizontal="center" vertical="center" wrapText="1"/>
      <protection hidden="1"/>
    </xf>
    <xf numFmtId="0" fontId="17" fillId="0" borderId="7" xfId="1" applyFont="1" applyBorder="1" applyAlignment="1" applyProtection="1">
      <alignment horizontal="center" vertical="center" wrapText="1"/>
      <protection hidden="1"/>
    </xf>
    <xf numFmtId="0" fontId="17" fillId="0" borderId="8" xfId="1" applyFont="1" applyBorder="1" applyAlignment="1" applyProtection="1">
      <alignment horizontal="center" vertical="center" wrapText="1"/>
      <protection hidden="1"/>
    </xf>
    <xf numFmtId="0" fontId="17" fillId="0" borderId="14" xfId="1" applyFont="1" applyBorder="1" applyAlignment="1" applyProtection="1">
      <alignment horizontal="center" vertical="center" wrapText="1"/>
      <protection hidden="1"/>
    </xf>
    <xf numFmtId="0" fontId="17" fillId="0" borderId="15" xfId="1" applyFont="1" applyBorder="1" applyAlignment="1" applyProtection="1">
      <alignment horizontal="center" vertical="center" wrapText="1"/>
      <protection hidden="1"/>
    </xf>
    <xf numFmtId="0" fontId="17" fillId="0" borderId="16" xfId="1" applyFont="1" applyBorder="1" applyAlignment="1" applyProtection="1">
      <alignment horizontal="center" vertical="center" wrapText="1"/>
      <protection hidden="1"/>
    </xf>
    <xf numFmtId="0" fontId="15" fillId="0" borderId="10" xfId="1" applyFont="1" applyBorder="1" applyAlignment="1" applyProtection="1">
      <alignment horizontal="center" vertical="center" wrapText="1"/>
      <protection hidden="1"/>
    </xf>
    <xf numFmtId="9" fontId="16" fillId="0" borderId="10" xfId="1" applyNumberFormat="1" applyFont="1" applyBorder="1" applyAlignment="1" applyProtection="1">
      <alignment horizontal="center" vertical="center" wrapText="1"/>
      <protection hidden="1"/>
    </xf>
    <xf numFmtId="4" fontId="1" fillId="0" borderId="6" xfId="1" applyNumberFormat="1" applyBorder="1" applyAlignment="1" applyProtection="1">
      <alignment horizontal="left" vertical="center" wrapText="1"/>
      <protection hidden="1"/>
    </xf>
    <xf numFmtId="4" fontId="1" fillId="0" borderId="7" xfId="1" applyNumberFormat="1" applyBorder="1" applyAlignment="1" applyProtection="1">
      <alignment horizontal="left" vertical="center" wrapText="1"/>
      <protection hidden="1"/>
    </xf>
    <xf numFmtId="0" fontId="3" fillId="0" borderId="19" xfId="1" applyFont="1" applyBorder="1" applyAlignment="1" applyProtection="1">
      <alignment vertical="justify" wrapText="1"/>
      <protection hidden="1"/>
    </xf>
    <xf numFmtId="0" fontId="3" fillId="0" borderId="0" xfId="1" applyFont="1" applyAlignment="1" applyProtection="1">
      <alignment vertical="justify" wrapText="1"/>
      <protection hidden="1"/>
    </xf>
    <xf numFmtId="0" fontId="17" fillId="0" borderId="0" xfId="1" applyFont="1" applyAlignment="1" applyProtection="1">
      <alignment horizontal="center" vertical="justify" wrapText="1"/>
      <protection hidden="1"/>
    </xf>
    <xf numFmtId="0" fontId="14" fillId="0" borderId="13" xfId="1" applyFont="1" applyBorder="1" applyAlignment="1" applyProtection="1">
      <alignment horizontal="center" vertical="center"/>
      <protection hidden="1"/>
    </xf>
    <xf numFmtId="0" fontId="14" fillId="0" borderId="18" xfId="1" applyFont="1" applyBorder="1" applyAlignment="1" applyProtection="1">
      <alignment horizontal="center" vertical="center"/>
      <protection hidden="1"/>
    </xf>
    <xf numFmtId="0" fontId="17" fillId="0" borderId="34" xfId="1" applyFont="1" applyBorder="1" applyAlignment="1" applyProtection="1">
      <alignment horizontal="center" vertical="justify" wrapText="1"/>
      <protection hidden="1"/>
    </xf>
    <xf numFmtId="0" fontId="17" fillId="0" borderId="29" xfId="1" applyFont="1" applyBorder="1" applyAlignment="1" applyProtection="1">
      <alignment horizontal="center" vertical="justify" wrapText="1"/>
      <protection hidden="1"/>
    </xf>
    <xf numFmtId="0" fontId="17" fillId="0" borderId="36" xfId="1" applyFont="1" applyBorder="1" applyAlignment="1" applyProtection="1">
      <alignment horizontal="center" vertical="justify" wrapText="1"/>
      <protection hidden="1"/>
    </xf>
    <xf numFmtId="0" fontId="3" fillId="0" borderId="33" xfId="1" applyFont="1" applyBorder="1" applyAlignment="1" applyProtection="1">
      <alignment horizontal="center" vertical="justify" wrapText="1"/>
      <protection hidden="1"/>
    </xf>
    <xf numFmtId="0" fontId="3" fillId="0" borderId="27" xfId="1" applyFont="1" applyBorder="1" applyAlignment="1" applyProtection="1">
      <alignment horizontal="center" vertical="justify" wrapText="1"/>
      <protection hidden="1"/>
    </xf>
    <xf numFmtId="0" fontId="3" fillId="0" borderId="35" xfId="1" applyFont="1" applyBorder="1" applyAlignment="1" applyProtection="1">
      <alignment horizontal="center" vertical="justify" wrapText="1"/>
      <protection hidden="1"/>
    </xf>
    <xf numFmtId="0" fontId="17" fillId="0" borderId="33" xfId="1" applyFont="1" applyBorder="1" applyAlignment="1" applyProtection="1">
      <alignment horizontal="center" vertical="center" wrapText="1"/>
      <protection hidden="1"/>
    </xf>
    <xf numFmtId="0" fontId="17" fillId="0" borderId="27" xfId="1" applyFont="1" applyBorder="1" applyAlignment="1" applyProtection="1">
      <alignment horizontal="center" vertical="center" wrapText="1"/>
      <protection hidden="1"/>
    </xf>
    <xf numFmtId="0" fontId="19" fillId="0" borderId="13" xfId="1" applyFont="1" applyBorder="1" applyAlignment="1" applyProtection="1">
      <alignment horizontal="center" vertical="center" wrapText="1"/>
      <protection hidden="1"/>
    </xf>
    <xf numFmtId="0" fontId="19" fillId="0" borderId="18" xfId="1" applyFont="1" applyBorder="1" applyAlignment="1" applyProtection="1">
      <alignment horizontal="center" vertical="center" wrapText="1"/>
      <protection hidden="1"/>
    </xf>
    <xf numFmtId="0" fontId="10" fillId="0" borderId="34" xfId="1" applyFont="1" applyBorder="1" applyAlignment="1" applyProtection="1">
      <alignment horizontal="center" vertical="justify" wrapText="1"/>
      <protection hidden="1"/>
    </xf>
    <xf numFmtId="0" fontId="10" fillId="0" borderId="29" xfId="1" applyFont="1" applyBorder="1" applyAlignment="1" applyProtection="1">
      <alignment horizontal="center" vertical="justify" wrapText="1"/>
      <protection hidden="1"/>
    </xf>
    <xf numFmtId="0" fontId="3" fillId="0" borderId="1" xfId="1" applyFont="1" applyBorder="1" applyAlignment="1" applyProtection="1">
      <alignment horizontal="center" vertical="justify" wrapText="1"/>
      <protection hidden="1"/>
    </xf>
    <xf numFmtId="0" fontId="3" fillId="0" borderId="2" xfId="1" applyFont="1" applyBorder="1" applyAlignment="1" applyProtection="1">
      <alignment horizontal="center" vertical="justify" wrapText="1"/>
      <protection hidden="1"/>
    </xf>
    <xf numFmtId="0" fontId="3" fillId="0" borderId="5" xfId="1" applyFont="1" applyBorder="1" applyAlignment="1" applyProtection="1">
      <alignment horizontal="center" vertical="justify" wrapText="1"/>
      <protection hidden="1"/>
    </xf>
    <xf numFmtId="0" fontId="3" fillId="0" borderId="37" xfId="1" applyFont="1" applyBorder="1" applyAlignment="1" applyProtection="1">
      <alignment horizontal="center" vertical="center" wrapText="1"/>
      <protection hidden="1"/>
    </xf>
    <xf numFmtId="0" fontId="3" fillId="0" borderId="38" xfId="1" applyFont="1" applyBorder="1" applyAlignment="1" applyProtection="1">
      <alignment horizontal="center" vertical="center" wrapText="1"/>
      <protection hidden="1"/>
    </xf>
    <xf numFmtId="0" fontId="3" fillId="0" borderId="39" xfId="1" applyFont="1" applyBorder="1" applyAlignment="1" applyProtection="1">
      <alignment horizontal="center" vertical="center" wrapText="1"/>
      <protection hidden="1"/>
    </xf>
    <xf numFmtId="4" fontId="1" fillId="0" borderId="14" xfId="1" applyNumberFormat="1" applyBorder="1" applyAlignment="1" applyProtection="1">
      <alignment horizontal="left" vertical="center" wrapText="1"/>
      <protection hidden="1"/>
    </xf>
    <xf numFmtId="4" fontId="1" fillId="0" borderId="15" xfId="1" applyNumberFormat="1" applyBorder="1" applyAlignment="1" applyProtection="1">
      <alignment horizontal="left" vertical="center" wrapText="1"/>
      <protection hidden="1"/>
    </xf>
    <xf numFmtId="0" fontId="8" fillId="2" borderId="19" xfId="1" applyFont="1" applyFill="1" applyBorder="1" applyAlignment="1" applyProtection="1">
      <alignment horizontal="left" vertical="center" wrapText="1"/>
      <protection hidden="1"/>
    </xf>
    <xf numFmtId="0" fontId="8" fillId="2" borderId="0" xfId="1" applyFont="1" applyFill="1" applyAlignment="1" applyProtection="1">
      <alignment horizontal="left" vertical="center" wrapText="1"/>
      <protection hidden="1"/>
    </xf>
    <xf numFmtId="0" fontId="8" fillId="2" borderId="20" xfId="1" applyFont="1" applyFill="1" applyBorder="1" applyAlignment="1" applyProtection="1">
      <alignment horizontal="left" vertical="center" wrapText="1"/>
      <protection hidden="1"/>
    </xf>
    <xf numFmtId="0" fontId="8" fillId="0" borderId="19" xfId="1" applyFont="1" applyBorder="1" applyAlignment="1" applyProtection="1">
      <alignment horizontal="left" vertical="center" wrapText="1"/>
      <protection hidden="1"/>
    </xf>
    <xf numFmtId="0" fontId="8" fillId="0" borderId="0" xfId="1" applyFont="1" applyAlignment="1" applyProtection="1">
      <alignment horizontal="left" vertical="center" wrapText="1"/>
      <protection hidden="1"/>
    </xf>
    <xf numFmtId="0" fontId="8" fillId="0" borderId="20" xfId="1" applyFont="1" applyBorder="1" applyAlignment="1" applyProtection="1">
      <alignment horizontal="left" vertical="center" wrapText="1"/>
      <protection hidden="1"/>
    </xf>
    <xf numFmtId="0" fontId="8" fillId="0" borderId="19" xfId="1" applyFont="1" applyBorder="1" applyAlignment="1" applyProtection="1">
      <alignment horizontal="left" wrapText="1"/>
      <protection hidden="1"/>
    </xf>
    <xf numFmtId="0" fontId="8" fillId="0" borderId="0" xfId="1" applyFont="1" applyAlignment="1" applyProtection="1">
      <alignment horizontal="left" wrapText="1"/>
      <protection hidden="1"/>
    </xf>
    <xf numFmtId="0" fontId="8" fillId="0" borderId="20" xfId="1" applyFont="1" applyBorder="1" applyAlignment="1" applyProtection="1">
      <alignment horizontal="left" wrapText="1"/>
      <protection hidden="1"/>
    </xf>
    <xf numFmtId="0" fontId="8" fillId="0" borderId="33" xfId="1" applyFont="1" applyBorder="1" applyAlignment="1" applyProtection="1">
      <alignment horizontal="left" vertical="center" wrapText="1"/>
      <protection hidden="1"/>
    </xf>
    <xf numFmtId="0" fontId="8" fillId="0" borderId="27" xfId="1" applyFont="1" applyBorder="1" applyAlignment="1" applyProtection="1">
      <alignment horizontal="left" vertical="center" wrapText="1"/>
      <protection hidden="1"/>
    </xf>
    <xf numFmtId="0" fontId="8" fillId="0" borderId="41" xfId="1" applyFont="1" applyBorder="1" applyAlignment="1" applyProtection="1">
      <alignment horizontal="left" vertical="center" wrapText="1"/>
      <protection hidden="1"/>
    </xf>
    <xf numFmtId="0" fontId="14" fillId="0" borderId="37" xfId="1" applyFont="1" applyBorder="1" applyAlignment="1" applyProtection="1">
      <alignment horizontal="center" vertical="center" wrapText="1"/>
      <protection hidden="1"/>
    </xf>
    <xf numFmtId="0" fontId="14" fillId="0" borderId="38" xfId="1" applyFont="1" applyBorder="1" applyAlignment="1" applyProtection="1">
      <alignment horizontal="center" vertical="center" wrapText="1"/>
      <protection hidden="1"/>
    </xf>
    <xf numFmtId="0" fontId="14" fillId="0" borderId="58" xfId="1" applyFont="1" applyBorder="1" applyAlignment="1" applyProtection="1">
      <alignment horizontal="center" vertical="center" wrapText="1"/>
      <protection hidden="1"/>
    </xf>
    <xf numFmtId="0" fontId="8" fillId="0" borderId="19" xfId="1" applyFont="1" applyBorder="1" applyAlignment="1" applyProtection="1">
      <alignment horizontal="left"/>
      <protection hidden="1"/>
    </xf>
    <xf numFmtId="0" fontId="8" fillId="0" borderId="0" xfId="1" applyFont="1" applyAlignment="1" applyProtection="1">
      <alignment horizontal="left"/>
      <protection hidden="1"/>
    </xf>
    <xf numFmtId="0" fontId="8" fillId="0" borderId="19" xfId="1" applyFont="1" applyBorder="1" applyAlignment="1" applyProtection="1">
      <alignment vertical="justify" wrapText="1"/>
      <protection hidden="1"/>
    </xf>
    <xf numFmtId="0" fontId="8" fillId="0" borderId="0" xfId="1" applyFont="1" applyAlignment="1" applyProtection="1">
      <alignment vertical="justify" wrapText="1"/>
      <protection hidden="1"/>
    </xf>
    <xf numFmtId="0" fontId="23" fillId="0" borderId="19" xfId="1" applyFont="1" applyBorder="1" applyAlignment="1" applyProtection="1">
      <alignment vertical="justify" wrapText="1"/>
      <protection hidden="1"/>
    </xf>
    <xf numFmtId="0" fontId="23" fillId="0" borderId="0" xfId="1" applyFont="1" applyAlignment="1" applyProtection="1">
      <alignment vertical="justify" wrapText="1"/>
      <protection hidden="1"/>
    </xf>
    <xf numFmtId="0" fontId="23" fillId="0" borderId="19" xfId="1" applyFont="1" applyBorder="1" applyAlignment="1" applyProtection="1">
      <alignment vertical="center" wrapText="1"/>
      <protection hidden="1"/>
    </xf>
    <xf numFmtId="0" fontId="23" fillId="0" borderId="0" xfId="1" applyFont="1" applyAlignment="1" applyProtection="1">
      <alignment vertical="center" wrapText="1"/>
      <protection hidden="1"/>
    </xf>
    <xf numFmtId="0" fontId="24" fillId="0" borderId="14" xfId="1" applyFont="1" applyBorder="1" applyAlignment="1" applyProtection="1">
      <alignment horizontal="left" vertical="center" wrapText="1"/>
      <protection hidden="1"/>
    </xf>
    <xf numFmtId="0" fontId="24" fillId="0" borderId="15" xfId="1" applyFont="1" applyBorder="1" applyAlignment="1" applyProtection="1">
      <alignment horizontal="left" vertical="center" wrapText="1"/>
      <protection hidden="1"/>
    </xf>
    <xf numFmtId="0" fontId="24" fillId="0" borderId="16" xfId="1" applyFont="1" applyBorder="1" applyAlignment="1" applyProtection="1">
      <alignment horizontal="left" vertical="center" wrapText="1"/>
      <protection hidden="1"/>
    </xf>
    <xf numFmtId="0" fontId="3" fillId="0" borderId="23" xfId="0" applyFont="1" applyBorder="1" applyAlignment="1">
      <alignment horizontal="center" vertical="justify" wrapText="1"/>
    </xf>
    <xf numFmtId="0" fontId="3" fillId="0" borderId="24" xfId="0" applyFont="1" applyBorder="1" applyAlignment="1">
      <alignment horizontal="center" vertical="justify" wrapText="1"/>
    </xf>
    <xf numFmtId="0" fontId="16" fillId="0" borderId="12" xfId="0" applyFont="1" applyBorder="1" applyAlignment="1">
      <alignment horizontal="center" vertical="center" wrapText="1"/>
    </xf>
    <xf numFmtId="9" fontId="16" fillId="0" borderId="11" xfId="0" applyNumberFormat="1" applyFont="1" applyBorder="1" applyAlignment="1">
      <alignment horizontal="center" vertical="center" wrapText="1"/>
    </xf>
    <xf numFmtId="9" fontId="16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3" fillId="0" borderId="19" xfId="1" applyFont="1" applyBorder="1" applyAlignment="1" applyProtection="1">
      <alignment horizontal="left" vertical="center" wrapText="1"/>
      <protection hidden="1"/>
    </xf>
    <xf numFmtId="0" fontId="3" fillId="0" borderId="0" xfId="1" applyFont="1" applyAlignment="1" applyProtection="1">
      <alignment horizontal="left" vertical="center" wrapText="1"/>
      <protection hidden="1"/>
    </xf>
    <xf numFmtId="0" fontId="4" fillId="0" borderId="0" xfId="1" applyFont="1" applyAlignment="1" applyProtection="1">
      <alignment horizontal="center"/>
      <protection hidden="1"/>
    </xf>
    <xf numFmtId="0" fontId="8" fillId="0" borderId="14" xfId="1" applyFont="1" applyBorder="1" applyAlignment="1" applyProtection="1">
      <alignment horizontal="left" vertical="center" wrapText="1"/>
      <protection hidden="1"/>
    </xf>
    <xf numFmtId="0" fontId="8" fillId="0" borderId="15" xfId="1" applyFont="1" applyBorder="1" applyAlignment="1" applyProtection="1">
      <alignment horizontal="left" vertical="center" wrapText="1"/>
      <protection hidden="1"/>
    </xf>
    <xf numFmtId="0" fontId="8" fillId="0" borderId="16" xfId="1" applyFont="1" applyBorder="1" applyAlignment="1" applyProtection="1">
      <alignment horizontal="left" vertical="center" wrapText="1"/>
      <protection hidden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2" fontId="2" fillId="0" borderId="53" xfId="1" quotePrefix="1" applyNumberFormat="1" applyFont="1" applyBorder="1" applyAlignment="1" applyProtection="1">
      <alignment horizontal="center" vertical="center"/>
      <protection hidden="1"/>
    </xf>
    <xf numFmtId="0" fontId="2" fillId="0" borderId="23" xfId="1" applyFont="1" applyBorder="1" applyAlignment="1" applyProtection="1">
      <alignment vertical="center" wrapText="1"/>
      <protection hidden="1"/>
    </xf>
    <xf numFmtId="0" fontId="2" fillId="0" borderId="24" xfId="1" applyFont="1" applyBorder="1" applyAlignment="1" applyProtection="1">
      <alignment vertical="center" wrapText="1"/>
      <protection hidden="1"/>
    </xf>
    <xf numFmtId="0" fontId="2" fillId="0" borderId="25" xfId="1" applyFont="1" applyBorder="1" applyAlignment="1" applyProtection="1">
      <alignment vertical="center" wrapText="1"/>
      <protection hidden="1"/>
    </xf>
    <xf numFmtId="0" fontId="28" fillId="0" borderId="23" xfId="1" applyFont="1" applyBorder="1" applyAlignment="1" applyProtection="1">
      <alignment horizontal="left" vertical="center" wrapText="1"/>
      <protection hidden="1"/>
    </xf>
    <xf numFmtId="0" fontId="28" fillId="0" borderId="24" xfId="1" applyFont="1" applyBorder="1" applyAlignment="1" applyProtection="1">
      <alignment horizontal="left" vertical="center" wrapText="1"/>
      <protection hidden="1"/>
    </xf>
    <xf numFmtId="0" fontId="28" fillId="0" borderId="25" xfId="1" applyFont="1" applyBorder="1" applyAlignment="1" applyProtection="1">
      <alignment horizontal="left" vertical="center" wrapText="1"/>
      <protection hidden="1"/>
    </xf>
    <xf numFmtId="4" fontId="2" fillId="4" borderId="23" xfId="1" applyNumberFormat="1" applyFont="1" applyFill="1" applyBorder="1" applyAlignment="1" applyProtection="1">
      <alignment horizontal="center" vertical="center"/>
      <protection hidden="1"/>
    </xf>
    <xf numFmtId="4" fontId="2" fillId="4" borderId="25" xfId="1" applyNumberFormat="1" applyFont="1" applyFill="1" applyBorder="1" applyAlignment="1" applyProtection="1">
      <alignment horizontal="center" vertical="center"/>
      <protection hidden="1"/>
    </xf>
    <xf numFmtId="0" fontId="3" fillId="0" borderId="20" xfId="1" applyFont="1" applyBorder="1" applyAlignment="1" applyProtection="1">
      <alignment horizontal="left" vertical="center" wrapText="1"/>
      <protection hidden="1"/>
    </xf>
    <xf numFmtId="0" fontId="3" fillId="0" borderId="19" xfId="1" applyFont="1" applyBorder="1" applyAlignment="1" applyProtection="1">
      <alignment wrapText="1"/>
      <protection hidden="1"/>
    </xf>
    <xf numFmtId="0" fontId="3" fillId="0" borderId="0" xfId="1" applyFont="1" applyAlignment="1" applyProtection="1">
      <alignment wrapText="1"/>
      <protection hidden="1"/>
    </xf>
    <xf numFmtId="0" fontId="8" fillId="0" borderId="19" xfId="1" applyFont="1" applyBorder="1" applyAlignment="1" applyProtection="1">
      <alignment vertical="center" wrapText="1"/>
      <protection hidden="1"/>
    </xf>
    <xf numFmtId="0" fontId="8" fillId="0" borderId="0" xfId="1" applyFont="1" applyAlignment="1" applyProtection="1">
      <alignment vertical="center" wrapText="1"/>
      <protection hidden="1"/>
    </xf>
    <xf numFmtId="0" fontId="45" fillId="0" borderId="23" xfId="1" applyFont="1" applyBorder="1" applyAlignment="1" applyProtection="1">
      <alignment horizontal="center" vertical="center"/>
      <protection hidden="1"/>
    </xf>
    <xf numFmtId="0" fontId="45" fillId="0" borderId="24" xfId="1" applyFont="1" applyBorder="1" applyAlignment="1" applyProtection="1">
      <alignment horizontal="center" vertical="center"/>
      <protection hidden="1"/>
    </xf>
    <xf numFmtId="0" fontId="45" fillId="0" borderId="25" xfId="1" applyFont="1" applyBorder="1" applyAlignment="1" applyProtection="1">
      <alignment horizontal="center" vertical="center"/>
      <protection hidden="1"/>
    </xf>
    <xf numFmtId="0" fontId="6" fillId="0" borderId="12" xfId="1" applyFont="1" applyBorder="1" applyAlignment="1" applyProtection="1">
      <alignment horizontal="center" vertical="center" wrapText="1"/>
      <protection hidden="1"/>
    </xf>
    <xf numFmtId="0" fontId="6" fillId="0" borderId="11" xfId="1" applyFont="1" applyBorder="1" applyAlignment="1" applyProtection="1">
      <alignment horizontal="center" vertical="center" wrapText="1"/>
      <protection hidden="1"/>
    </xf>
    <xf numFmtId="0" fontId="6" fillId="0" borderId="10" xfId="1" applyFont="1" applyBorder="1" applyAlignment="1" applyProtection="1">
      <alignment horizontal="center" vertical="center" wrapText="1"/>
      <protection hidden="1"/>
    </xf>
    <xf numFmtId="0" fontId="44" fillId="0" borderId="23" xfId="1" applyFont="1" applyBorder="1" applyAlignment="1" applyProtection="1">
      <alignment horizontal="center" vertical="center"/>
      <protection hidden="1"/>
    </xf>
    <xf numFmtId="0" fontId="44" fillId="0" borderId="24" xfId="1" applyFont="1" applyBorder="1" applyAlignment="1" applyProtection="1">
      <alignment horizontal="center" vertical="center"/>
      <protection hidden="1"/>
    </xf>
    <xf numFmtId="0" fontId="44" fillId="0" borderId="25" xfId="1" applyFont="1" applyBorder="1" applyAlignment="1" applyProtection="1">
      <alignment horizontal="center" vertical="center"/>
      <protection hidden="1"/>
    </xf>
    <xf numFmtId="4" fontId="6" fillId="0" borderId="12" xfId="1" applyNumberFormat="1" applyFont="1" applyBorder="1" applyAlignment="1" applyProtection="1">
      <alignment horizontal="center" vertical="center"/>
      <protection hidden="1"/>
    </xf>
    <xf numFmtId="0" fontId="45" fillId="0" borderId="25" xfId="1" applyFont="1" applyBorder="1" applyAlignment="1" applyProtection="1">
      <alignment horizontal="center" vertical="center" wrapText="1"/>
      <protection hidden="1"/>
    </xf>
    <xf numFmtId="0" fontId="6" fillId="0" borderId="9" xfId="1" applyFont="1" applyBorder="1" applyAlignment="1" applyProtection="1">
      <alignment horizontal="center" vertical="center" wrapText="1"/>
      <protection hidden="1"/>
    </xf>
    <xf numFmtId="0" fontId="6" fillId="0" borderId="7" xfId="1" applyFont="1" applyBorder="1" applyAlignment="1" applyProtection="1">
      <alignment horizontal="center" vertical="center" wrapText="1"/>
      <protection hidden="1"/>
    </xf>
    <xf numFmtId="0" fontId="6" fillId="0" borderId="8" xfId="1" applyFont="1" applyBorder="1" applyAlignment="1" applyProtection="1">
      <alignment horizontal="center" vertical="center" wrapText="1"/>
      <protection hidden="1"/>
    </xf>
    <xf numFmtId="0" fontId="6" fillId="0" borderId="17" xfId="1" applyFont="1" applyBorder="1" applyAlignment="1" applyProtection="1">
      <alignment horizontal="center" vertical="center" wrapText="1"/>
      <protection hidden="1"/>
    </xf>
    <xf numFmtId="0" fontId="6" fillId="0" borderId="15" xfId="1" applyFont="1" applyBorder="1" applyAlignment="1" applyProtection="1">
      <alignment horizontal="center" vertical="center" wrapText="1"/>
      <protection hidden="1"/>
    </xf>
    <xf numFmtId="0" fontId="6" fillId="0" borderId="16" xfId="1" applyFont="1" applyBorder="1" applyAlignment="1" applyProtection="1">
      <alignment horizontal="center" vertical="center" wrapText="1"/>
      <protection hidden="1"/>
    </xf>
    <xf numFmtId="4" fontId="8" fillId="0" borderId="26" xfId="1" applyNumberFormat="1" applyFont="1" applyBorder="1" applyAlignment="1" applyProtection="1">
      <alignment horizontal="left" indent="1"/>
      <protection hidden="1"/>
    </xf>
    <xf numFmtId="4" fontId="8" fillId="0" borderId="0" xfId="1" applyNumberFormat="1" applyFont="1" applyAlignment="1" applyProtection="1">
      <alignment horizontal="left" indent="1"/>
      <protection hidden="1"/>
    </xf>
    <xf numFmtId="4" fontId="8" fillId="0" borderId="20" xfId="1" applyNumberFormat="1" applyFont="1" applyBorder="1" applyAlignment="1" applyProtection="1">
      <alignment horizontal="left" indent="1"/>
      <protection hidden="1"/>
    </xf>
    <xf numFmtId="4" fontId="8" fillId="0" borderId="26" xfId="1" applyNumberFormat="1" applyFont="1" applyBorder="1" applyAlignment="1" applyProtection="1">
      <alignment horizontal="left" vertical="center" indent="1"/>
      <protection hidden="1"/>
    </xf>
    <xf numFmtId="4" fontId="8" fillId="0" borderId="0" xfId="1" applyNumberFormat="1" applyFont="1" applyAlignment="1" applyProtection="1">
      <alignment horizontal="left" vertical="center" indent="1"/>
      <protection hidden="1"/>
    </xf>
    <xf numFmtId="4" fontId="8" fillId="0" borderId="20" xfId="1" applyNumberFormat="1" applyFont="1" applyBorder="1" applyAlignment="1" applyProtection="1">
      <alignment horizontal="left" vertical="center" indent="1"/>
      <protection hidden="1"/>
    </xf>
    <xf numFmtId="4" fontId="8" fillId="0" borderId="17" xfId="1" applyNumberFormat="1" applyFont="1" applyBorder="1" applyAlignment="1" applyProtection="1">
      <alignment horizontal="left" vertical="center" indent="1"/>
      <protection hidden="1"/>
    </xf>
    <xf numFmtId="4" fontId="8" fillId="0" borderId="15" xfId="1" applyNumberFormat="1" applyFont="1" applyBorder="1" applyAlignment="1" applyProtection="1">
      <alignment horizontal="left" vertical="center" indent="1"/>
      <protection hidden="1"/>
    </xf>
    <xf numFmtId="4" fontId="8" fillId="0" borderId="16" xfId="1" applyNumberFormat="1" applyFont="1" applyBorder="1" applyAlignment="1" applyProtection="1">
      <alignment horizontal="left" vertical="center" indent="1"/>
      <protection hidden="1"/>
    </xf>
    <xf numFmtId="4" fontId="8" fillId="0" borderId="26" xfId="1" applyNumberFormat="1" applyFont="1" applyBorder="1" applyAlignment="1" applyProtection="1">
      <alignment horizontal="left" vertical="center" wrapText="1" indent="1"/>
      <protection hidden="1"/>
    </xf>
    <xf numFmtId="4" fontId="8" fillId="0" borderId="0" xfId="1" applyNumberFormat="1" applyFont="1" applyAlignment="1" applyProtection="1">
      <alignment horizontal="left" vertical="center" wrapText="1" indent="1"/>
      <protection hidden="1"/>
    </xf>
    <xf numFmtId="4" fontId="8" fillId="0" borderId="20" xfId="1" applyNumberFormat="1" applyFont="1" applyBorder="1" applyAlignment="1" applyProtection="1">
      <alignment horizontal="left" vertical="center" wrapText="1" indent="1"/>
      <protection hidden="1"/>
    </xf>
    <xf numFmtId="4" fontId="50" fillId="0" borderId="9" xfId="1" applyNumberFormat="1" applyFont="1" applyBorder="1" applyAlignment="1" applyProtection="1">
      <alignment horizontal="left" vertical="center" wrapText="1" indent="1"/>
      <protection hidden="1"/>
    </xf>
    <xf numFmtId="4" fontId="50" fillId="0" borderId="7" xfId="1" applyNumberFormat="1" applyFont="1" applyBorder="1" applyAlignment="1" applyProtection="1">
      <alignment horizontal="left" vertical="center" wrapText="1" indent="1"/>
      <protection hidden="1"/>
    </xf>
    <xf numFmtId="4" fontId="50" fillId="0" borderId="8" xfId="1" applyNumberFormat="1" applyFont="1" applyBorder="1" applyAlignment="1" applyProtection="1">
      <alignment horizontal="left" vertical="center" wrapText="1" indent="1"/>
      <protection hidden="1"/>
    </xf>
    <xf numFmtId="4" fontId="10" fillId="7" borderId="23" xfId="1" applyNumberFormat="1" applyFont="1" applyFill="1" applyBorder="1" applyAlignment="1" applyProtection="1">
      <alignment horizontal="center" vertical="center"/>
      <protection hidden="1"/>
    </xf>
    <xf numFmtId="4" fontId="10" fillId="7" borderId="24" xfId="1" applyNumberFormat="1" applyFont="1" applyFill="1" applyBorder="1" applyAlignment="1" applyProtection="1">
      <alignment horizontal="center" vertical="center"/>
      <protection hidden="1"/>
    </xf>
    <xf numFmtId="4" fontId="10" fillId="7" borderId="25" xfId="1" applyNumberFormat="1" applyFont="1" applyFill="1" applyBorder="1" applyAlignment="1" applyProtection="1">
      <alignment horizontal="center" vertical="center"/>
      <protection hidden="1"/>
    </xf>
    <xf numFmtId="4" fontId="6" fillId="4" borderId="12" xfId="1" applyNumberFormat="1" applyFont="1" applyFill="1" applyBorder="1" applyAlignment="1" applyProtection="1">
      <alignment horizontal="center" vertical="center"/>
      <protection hidden="1"/>
    </xf>
    <xf numFmtId="0" fontId="8" fillId="0" borderId="19" xfId="1" applyFont="1" applyBorder="1" applyAlignment="1" applyProtection="1">
      <alignment horizontal="justify" vertical="justify" wrapText="1"/>
      <protection hidden="1"/>
    </xf>
    <xf numFmtId="0" fontId="8" fillId="0" borderId="0" xfId="1" applyFont="1" applyAlignment="1" applyProtection="1">
      <alignment horizontal="justify" vertical="justify" wrapText="1"/>
      <protection hidden="1"/>
    </xf>
    <xf numFmtId="0" fontId="8" fillId="0" borderId="19" xfId="1" applyFont="1" applyBorder="1" applyAlignment="1" applyProtection="1">
      <alignment horizontal="justify" vertical="center" wrapText="1"/>
      <protection hidden="1"/>
    </xf>
    <xf numFmtId="0" fontId="8" fillId="0" borderId="0" xfId="1" applyFont="1" applyAlignment="1" applyProtection="1">
      <alignment horizontal="justify" vertical="center" wrapText="1"/>
      <protection hidden="1"/>
    </xf>
    <xf numFmtId="0" fontId="8" fillId="0" borderId="34" xfId="1" applyFont="1" applyBorder="1" applyAlignment="1" applyProtection="1">
      <alignment horizontal="justify" vertical="justify" wrapText="1"/>
      <protection hidden="1"/>
    </xf>
    <xf numFmtId="0" fontId="8" fillId="0" borderId="29" xfId="1" applyFont="1" applyBorder="1" applyAlignment="1" applyProtection="1">
      <alignment horizontal="justify" vertical="justify" wrapText="1"/>
      <protection hidden="1"/>
    </xf>
    <xf numFmtId="0" fontId="1" fillId="0" borderId="26" xfId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 wrapText="1"/>
      <protection hidden="1"/>
    </xf>
    <xf numFmtId="0" fontId="1" fillId="0" borderId="20" xfId="1" applyBorder="1" applyAlignment="1" applyProtection="1">
      <alignment horizontal="left" vertical="center" wrapText="1"/>
      <protection hidden="1"/>
    </xf>
    <xf numFmtId="0" fontId="10" fillId="0" borderId="17" xfId="1" applyFont="1" applyBorder="1" applyAlignment="1" applyProtection="1">
      <alignment horizontal="left" vertical="center" wrapText="1"/>
      <protection hidden="1"/>
    </xf>
    <xf numFmtId="0" fontId="10" fillId="0" borderId="16" xfId="1" applyFont="1" applyBorder="1" applyAlignment="1" applyProtection="1">
      <alignment horizontal="left" vertical="center" wrapText="1"/>
      <protection hidden="1"/>
    </xf>
    <xf numFmtId="0" fontId="5" fillId="0" borderId="13" xfId="1" applyFont="1" applyBorder="1" applyAlignment="1" applyProtection="1">
      <alignment horizontal="center" vertical="center" wrapText="1"/>
      <protection hidden="1"/>
    </xf>
    <xf numFmtId="0" fontId="5" fillId="0" borderId="18" xfId="1" applyFont="1" applyBorder="1" applyAlignment="1" applyProtection="1">
      <alignment horizontal="center" vertical="center" wrapText="1"/>
      <protection hidden="1"/>
    </xf>
    <xf numFmtId="0" fontId="8" fillId="0" borderId="6" xfId="1" applyFont="1" applyBorder="1" applyAlignment="1" applyProtection="1">
      <alignment horizontal="left" vertical="center" wrapText="1"/>
      <protection hidden="1"/>
    </xf>
    <xf numFmtId="0" fontId="1" fillId="0" borderId="7" xfId="1" applyBorder="1" applyAlignment="1" applyProtection="1">
      <alignment horizontal="left" vertical="center"/>
      <protection hidden="1"/>
    </xf>
    <xf numFmtId="0" fontId="3" fillId="0" borderId="1" xfId="1" applyFont="1" applyBorder="1" applyAlignment="1" applyProtection="1">
      <alignment horizontal="center" vertical="center"/>
      <protection hidden="1"/>
    </xf>
    <xf numFmtId="0" fontId="3" fillId="0" borderId="2" xfId="1" applyFont="1" applyBorder="1" applyAlignment="1" applyProtection="1">
      <alignment horizontal="center" vertical="center"/>
      <protection hidden="1"/>
    </xf>
    <xf numFmtId="0" fontId="3" fillId="0" borderId="3" xfId="1" applyFont="1" applyBorder="1" applyAlignment="1" applyProtection="1">
      <alignment horizontal="center" vertical="center"/>
      <protection hidden="1"/>
    </xf>
    <xf numFmtId="0" fontId="4" fillId="0" borderId="4" xfId="1" quotePrefix="1" applyFont="1" applyBorder="1" applyAlignment="1" applyProtection="1">
      <alignment horizontal="center" vertical="center"/>
      <protection hidden="1"/>
    </xf>
    <xf numFmtId="0" fontId="4" fillId="0" borderId="2" xfId="1" quotePrefix="1" applyFont="1" applyBorder="1" applyAlignment="1" applyProtection="1">
      <alignment horizontal="center" vertical="center"/>
      <protection hidden="1"/>
    </xf>
    <xf numFmtId="0" fontId="4" fillId="0" borderId="5" xfId="1" quotePrefix="1" applyFont="1" applyBorder="1" applyAlignment="1" applyProtection="1">
      <alignment horizontal="center" vertical="center"/>
      <protection hidden="1"/>
    </xf>
    <xf numFmtId="0" fontId="3" fillId="0" borderId="6" xfId="1" applyFont="1" applyBorder="1" applyAlignment="1" applyProtection="1">
      <alignment horizontal="center" vertical="center" wrapText="1"/>
      <protection hidden="1"/>
    </xf>
    <xf numFmtId="0" fontId="3" fillId="0" borderId="7" xfId="1" applyFont="1" applyBorder="1" applyAlignment="1" applyProtection="1">
      <alignment horizontal="center" vertical="center" wrapText="1"/>
      <protection hidden="1"/>
    </xf>
    <xf numFmtId="0" fontId="3" fillId="0" borderId="14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center" vertical="center" wrapText="1"/>
      <protection hidden="1"/>
    </xf>
    <xf numFmtId="0" fontId="5" fillId="0" borderId="12" xfId="1" applyFont="1" applyBorder="1" applyAlignment="1" applyProtection="1">
      <alignment horizontal="center" vertical="center" wrapText="1"/>
      <protection hidden="1"/>
    </xf>
    <xf numFmtId="0" fontId="5" fillId="0" borderId="23" xfId="1" applyFont="1" applyBorder="1" applyAlignment="1" applyProtection="1">
      <alignment horizontal="center" vertical="center" wrapText="1"/>
      <protection hidden="1"/>
    </xf>
    <xf numFmtId="0" fontId="8" fillId="0" borderId="19" xfId="1" applyFont="1" applyBorder="1" applyAlignment="1" applyProtection="1">
      <alignment horizontal="justify" vertical="top" wrapText="1"/>
      <protection hidden="1"/>
    </xf>
    <xf numFmtId="0" fontId="8" fillId="0" borderId="0" xfId="1" applyFont="1" applyAlignment="1" applyProtection="1">
      <alignment horizontal="justify" vertical="top" wrapText="1"/>
      <protection hidden="1"/>
    </xf>
    <xf numFmtId="0" fontId="1" fillId="0" borderId="0" xfId="1" applyAlignment="1" applyProtection="1">
      <alignment horizontal="justify" vertical="center"/>
      <protection hidden="1"/>
    </xf>
    <xf numFmtId="4" fontId="1" fillId="0" borderId="0" xfId="1" applyNumberFormat="1" applyAlignment="1" applyProtection="1">
      <alignment horizontal="center" vertical="justify" wrapText="1"/>
      <protection hidden="1"/>
    </xf>
    <xf numFmtId="0" fontId="8" fillId="0" borderId="26" xfId="1" applyFont="1" applyBorder="1" applyAlignment="1" applyProtection="1">
      <alignment horizontal="justify" vertical="center" wrapText="1"/>
      <protection hidden="1"/>
    </xf>
    <xf numFmtId="0" fontId="8" fillId="0" borderId="20" xfId="1" applyFont="1" applyBorder="1" applyAlignment="1" applyProtection="1">
      <alignment horizontal="justify" vertical="center" wrapText="1"/>
      <protection hidden="1"/>
    </xf>
    <xf numFmtId="0" fontId="34" fillId="0" borderId="26" xfId="1" applyFont="1" applyBorder="1" applyAlignment="1" applyProtection="1">
      <alignment horizontal="left"/>
      <protection hidden="1"/>
    </xf>
    <xf numFmtId="0" fontId="34" fillId="0" borderId="0" xfId="1" applyFont="1" applyAlignment="1" applyProtection="1">
      <alignment horizontal="left"/>
      <protection hidden="1"/>
    </xf>
    <xf numFmtId="0" fontId="34" fillId="0" borderId="20" xfId="1" applyFont="1" applyBorder="1" applyAlignment="1" applyProtection="1">
      <alignment horizontal="left"/>
      <protection hidden="1"/>
    </xf>
    <xf numFmtId="0" fontId="3" fillId="0" borderId="9" xfId="1" applyFont="1" applyBorder="1" applyAlignment="1" applyProtection="1">
      <alignment horizontal="center" vertical="center"/>
      <protection hidden="1"/>
    </xf>
    <xf numFmtId="0" fontId="3" fillId="0" borderId="7" xfId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center"/>
      <protection hidden="1"/>
    </xf>
    <xf numFmtId="0" fontId="3" fillId="0" borderId="17" xfId="1" applyFont="1" applyBorder="1" applyAlignment="1" applyProtection="1">
      <alignment horizontal="center" vertical="center"/>
      <protection hidden="1"/>
    </xf>
    <xf numFmtId="0" fontId="3" fillId="0" borderId="15" xfId="1" applyFont="1" applyBorder="1" applyAlignment="1" applyProtection="1">
      <alignment horizontal="center" vertical="center"/>
      <protection hidden="1"/>
    </xf>
    <xf numFmtId="0" fontId="3" fillId="0" borderId="16" xfId="1" applyFont="1" applyBorder="1" applyAlignment="1" applyProtection="1">
      <alignment horizontal="center" vertical="center"/>
      <protection hidden="1"/>
    </xf>
    <xf numFmtId="0" fontId="4" fillId="0" borderId="9" xfId="1" quotePrefix="1" applyFont="1" applyBorder="1" applyAlignment="1" applyProtection="1">
      <alignment horizontal="center" vertical="center"/>
      <protection hidden="1"/>
    </xf>
    <xf numFmtId="0" fontId="4" fillId="0" borderId="7" xfId="1" quotePrefix="1" applyFont="1" applyBorder="1" applyAlignment="1" applyProtection="1">
      <alignment horizontal="center" vertical="center"/>
      <protection hidden="1"/>
    </xf>
    <xf numFmtId="0" fontId="4" fillId="0" borderId="8" xfId="1" quotePrefix="1" applyFont="1" applyBorder="1" applyAlignment="1" applyProtection="1">
      <alignment horizontal="center" vertical="center"/>
      <protection hidden="1"/>
    </xf>
    <xf numFmtId="0" fontId="4" fillId="0" borderId="17" xfId="1" quotePrefix="1" applyFont="1" applyBorder="1" applyAlignment="1" applyProtection="1">
      <alignment horizontal="center" vertical="center"/>
      <protection hidden="1"/>
    </xf>
    <xf numFmtId="0" fontId="4" fillId="0" borderId="15" xfId="1" quotePrefix="1" applyFont="1" applyBorder="1" applyAlignment="1" applyProtection="1">
      <alignment horizontal="center" vertical="center"/>
      <protection hidden="1"/>
    </xf>
    <xf numFmtId="0" fontId="4" fillId="0" borderId="16" xfId="1" quotePrefix="1" applyFont="1" applyBorder="1" applyAlignment="1" applyProtection="1">
      <alignment horizontal="center" vertical="center"/>
      <protection hidden="1"/>
    </xf>
    <xf numFmtId="0" fontId="49" fillId="0" borderId="9" xfId="1" applyFont="1" applyBorder="1" applyAlignment="1" applyProtection="1">
      <alignment horizontal="center" vertical="center" wrapText="1"/>
      <protection hidden="1"/>
    </xf>
    <xf numFmtId="0" fontId="49" fillId="0" borderId="7" xfId="1" applyFont="1" applyBorder="1" applyAlignment="1" applyProtection="1">
      <alignment horizontal="center" vertical="center" wrapText="1"/>
      <protection hidden="1"/>
    </xf>
    <xf numFmtId="0" fontId="49" fillId="0" borderId="8" xfId="1" applyFont="1" applyBorder="1" applyAlignment="1" applyProtection="1">
      <alignment horizontal="center" vertical="center" wrapText="1"/>
      <protection hidden="1"/>
    </xf>
    <xf numFmtId="0" fontId="10" fillId="0" borderId="12" xfId="1" applyFont="1" applyBorder="1" applyAlignment="1" applyProtection="1">
      <alignment horizontal="center" vertical="center" wrapText="1"/>
      <protection hidden="1"/>
    </xf>
    <xf numFmtId="0" fontId="31" fillId="0" borderId="11" xfId="1" applyFont="1" applyBorder="1" applyAlignment="1" applyProtection="1">
      <alignment horizontal="center" vertical="center" wrapText="1"/>
      <protection hidden="1"/>
    </xf>
    <xf numFmtId="0" fontId="31" fillId="0" borderId="10" xfId="1" applyFont="1" applyBorder="1" applyAlignment="1" applyProtection="1">
      <alignment horizontal="center" vertical="center" wrapText="1"/>
      <protection hidden="1"/>
    </xf>
    <xf numFmtId="0" fontId="49" fillId="0" borderId="17" xfId="1" applyFont="1" applyBorder="1" applyAlignment="1" applyProtection="1">
      <alignment horizontal="center" vertical="center" wrapText="1"/>
      <protection hidden="1"/>
    </xf>
    <xf numFmtId="0" fontId="49" fillId="0" borderId="15" xfId="1" applyFont="1" applyBorder="1" applyAlignment="1" applyProtection="1">
      <alignment horizontal="center" vertical="center" wrapText="1"/>
      <protection hidden="1"/>
    </xf>
    <xf numFmtId="0" fontId="49" fillId="0" borderId="16" xfId="1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>
      <alignment horizontal="center" vertical="center" wrapText="1"/>
    </xf>
    <xf numFmtId="0" fontId="8" fillId="0" borderId="26" xfId="1" applyFont="1" applyBorder="1" applyAlignment="1" applyProtection="1">
      <alignment horizontal="justify" vertical="center"/>
      <protection hidden="1"/>
    </xf>
    <xf numFmtId="0" fontId="8" fillId="0" borderId="0" xfId="1" applyFont="1" applyAlignment="1" applyProtection="1">
      <alignment horizontal="justify" vertical="center"/>
      <protection hidden="1"/>
    </xf>
    <xf numFmtId="0" fontId="8" fillId="0" borderId="20" xfId="1" applyFont="1" applyBorder="1" applyAlignment="1" applyProtection="1">
      <alignment horizontal="justify" vertical="center"/>
      <protection hidden="1"/>
    </xf>
    <xf numFmtId="0" fontId="8" fillId="0" borderId="26" xfId="1" applyFont="1" applyBorder="1" applyAlignment="1" applyProtection="1">
      <alignment horizontal="left" vertical="center" wrapText="1"/>
      <protection hidden="1"/>
    </xf>
    <xf numFmtId="0" fontId="1" fillId="0" borderId="17" xfId="1" applyBorder="1" applyAlignment="1" applyProtection="1">
      <alignment horizontal="left" vertical="center" wrapText="1"/>
      <protection hidden="1"/>
    </xf>
    <xf numFmtId="0" fontId="1" fillId="0" borderId="15" xfId="1" applyBorder="1" applyAlignment="1" applyProtection="1">
      <alignment horizontal="left" vertical="center" wrapText="1"/>
      <protection hidden="1"/>
    </xf>
    <xf numFmtId="0" fontId="1" fillId="0" borderId="16" xfId="1" applyBorder="1" applyAlignment="1" applyProtection="1">
      <alignment horizontal="left" vertical="center" wrapText="1"/>
      <protection hidden="1"/>
    </xf>
    <xf numFmtId="0" fontId="10" fillId="0" borderId="26" xfId="1" applyFont="1" applyBorder="1" applyAlignment="1" applyProtection="1">
      <alignment horizontal="left" vertical="center" wrapText="1"/>
      <protection hidden="1"/>
    </xf>
    <xf numFmtId="0" fontId="10" fillId="0" borderId="0" xfId="1" applyFont="1" applyAlignment="1" applyProtection="1">
      <alignment horizontal="left" vertical="center" wrapText="1"/>
      <protection hidden="1"/>
    </xf>
    <xf numFmtId="0" fontId="10" fillId="0" borderId="20" xfId="1" applyFont="1" applyBorder="1" applyAlignment="1" applyProtection="1">
      <alignment horizontal="left" vertical="center" wrapText="1"/>
      <protection hidden="1"/>
    </xf>
    <xf numFmtId="4" fontId="2" fillId="0" borderId="19" xfId="4" applyNumberFormat="1" applyFont="1" applyBorder="1" applyAlignment="1">
      <alignment horizontal="left"/>
    </xf>
    <xf numFmtId="4" fontId="2" fillId="0" borderId="0" xfId="4" applyNumberFormat="1" applyFont="1" applyAlignment="1">
      <alignment horizontal="left"/>
    </xf>
    <xf numFmtId="0" fontId="10" fillId="0" borderId="30" xfId="4" applyFont="1" applyBorder="1" applyAlignment="1">
      <alignment horizontal="center" vertical="center"/>
    </xf>
    <xf numFmtId="0" fontId="10" fillId="0" borderId="31" xfId="4" applyFont="1" applyBorder="1" applyAlignment="1">
      <alignment horizontal="center" vertical="center"/>
    </xf>
    <xf numFmtId="0" fontId="10" fillId="0" borderId="32" xfId="4" applyFont="1" applyBorder="1" applyAlignment="1">
      <alignment horizontal="center" vertical="center"/>
    </xf>
    <xf numFmtId="0" fontId="49" fillId="0" borderId="14" xfId="4" applyFont="1" applyBorder="1" applyAlignment="1">
      <alignment horizontal="center" vertical="center"/>
    </xf>
    <xf numFmtId="0" fontId="49" fillId="0" borderId="15" xfId="4" applyFont="1" applyBorder="1" applyAlignment="1">
      <alignment horizontal="center" vertical="center"/>
    </xf>
    <xf numFmtId="0" fontId="49" fillId="0" borderId="16" xfId="4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0" fontId="3" fillId="0" borderId="18" xfId="4" applyFont="1" applyBorder="1" applyAlignment="1">
      <alignment horizontal="center" vertical="center"/>
    </xf>
    <xf numFmtId="0" fontId="8" fillId="0" borderId="14" xfId="4" applyFont="1" applyBorder="1" applyAlignment="1">
      <alignment horizontal="left" vertical="justify" wrapText="1"/>
    </xf>
    <xf numFmtId="0" fontId="8" fillId="0" borderId="15" xfId="4" applyFont="1" applyBorder="1" applyAlignment="1">
      <alignment horizontal="left" vertical="justify" wrapText="1"/>
    </xf>
    <xf numFmtId="0" fontId="8" fillId="0" borderId="16" xfId="4" applyFont="1" applyBorder="1" applyAlignment="1">
      <alignment horizontal="left" vertical="justify" wrapText="1"/>
    </xf>
    <xf numFmtId="4" fontId="2" fillId="0" borderId="0" xfId="4" applyNumberFormat="1" applyFont="1" applyAlignment="1">
      <alignment horizontal="center" vertical="justify" wrapText="1"/>
    </xf>
    <xf numFmtId="4" fontId="14" fillId="0" borderId="48" xfId="4" applyNumberFormat="1" applyFont="1" applyBorder="1" applyAlignment="1">
      <alignment horizontal="center" vertical="center" wrapText="1"/>
    </xf>
    <xf numFmtId="4" fontId="14" fillId="0" borderId="24" xfId="4" applyNumberFormat="1" applyFont="1" applyBorder="1" applyAlignment="1">
      <alignment horizontal="center" vertical="center" wrapText="1"/>
    </xf>
    <xf numFmtId="4" fontId="14" fillId="0" borderId="49" xfId="4" applyNumberFormat="1" applyFont="1" applyBorder="1" applyAlignment="1">
      <alignment horizontal="center" vertical="center" wrapText="1"/>
    </xf>
    <xf numFmtId="4" fontId="14" fillId="0" borderId="19" xfId="4" quotePrefix="1" applyNumberFormat="1" applyFont="1" applyBorder="1" applyAlignment="1">
      <alignment horizontal="left" vertical="center" wrapText="1"/>
    </xf>
    <xf numFmtId="4" fontId="14" fillId="0" borderId="0" xfId="4" quotePrefix="1" applyNumberFormat="1" applyFont="1" applyAlignment="1">
      <alignment horizontal="left" vertical="center" wrapText="1"/>
    </xf>
    <xf numFmtId="4" fontId="2" fillId="0" borderId="19" xfId="4" applyNumberFormat="1" applyFont="1" applyBorder="1" applyAlignment="1">
      <alignment horizontal="left" vertical="center" wrapText="1"/>
    </xf>
    <xf numFmtId="4" fontId="2" fillId="0" borderId="0" xfId="4" applyNumberFormat="1" applyFont="1" applyAlignment="1">
      <alignment horizontal="left" vertical="center" wrapText="1"/>
    </xf>
    <xf numFmtId="4" fontId="14" fillId="0" borderId="48" xfId="4" applyNumberFormat="1" applyFont="1" applyBorder="1" applyAlignment="1">
      <alignment horizontal="left" vertical="center"/>
    </xf>
    <xf numFmtId="4" fontId="14" fillId="0" borderId="24" xfId="4" applyNumberFormat="1" applyFont="1" applyBorder="1" applyAlignment="1">
      <alignment horizontal="left" vertical="center"/>
    </xf>
    <xf numFmtId="4" fontId="14" fillId="0" borderId="49" xfId="4" applyNumberFormat="1" applyFont="1" applyBorder="1" applyAlignment="1">
      <alignment horizontal="left" vertical="center"/>
    </xf>
    <xf numFmtId="4" fontId="2" fillId="0" borderId="20" xfId="4" applyNumberFormat="1" applyFont="1" applyBorder="1" applyAlignment="1">
      <alignment horizontal="left" vertical="center" wrapText="1"/>
    </xf>
    <xf numFmtId="0" fontId="49" fillId="0" borderId="1" xfId="4" applyFont="1" applyBorder="1" applyAlignment="1">
      <alignment horizontal="center" vertical="center"/>
    </xf>
    <xf numFmtId="0" fontId="49" fillId="0" borderId="2" xfId="4" applyFont="1" applyBorder="1" applyAlignment="1">
      <alignment horizontal="center" vertical="center"/>
    </xf>
    <xf numFmtId="4" fontId="2" fillId="0" borderId="33" xfId="4" applyNumberFormat="1" applyFont="1" applyBorder="1" applyAlignment="1">
      <alignment horizontal="left"/>
    </xf>
    <xf numFmtId="4" fontId="2" fillId="0" borderId="27" xfId="4" applyNumberFormat="1" applyFont="1" applyBorder="1" applyAlignment="1">
      <alignment horizontal="left"/>
    </xf>
    <xf numFmtId="4" fontId="2" fillId="0" borderId="35" xfId="4" applyNumberFormat="1" applyFont="1" applyBorder="1" applyAlignment="1">
      <alignment horizontal="left"/>
    </xf>
    <xf numFmtId="4" fontId="2" fillId="0" borderId="30" xfId="4" applyNumberFormat="1" applyFont="1" applyBorder="1" applyAlignment="1">
      <alignment horizontal="left"/>
    </xf>
    <xf numFmtId="4" fontId="2" fillId="0" borderId="31" xfId="4" applyNumberFormat="1" applyFont="1" applyBorder="1" applyAlignment="1">
      <alignment horizontal="left"/>
    </xf>
    <xf numFmtId="4" fontId="2" fillId="0" borderId="46" xfId="4" applyNumberFormat="1" applyFont="1" applyBorder="1" applyAlignment="1">
      <alignment horizontal="left"/>
    </xf>
    <xf numFmtId="0" fontId="24" fillId="0" borderId="55" xfId="4" applyFont="1" applyBorder="1" applyAlignment="1">
      <alignment horizontal="center" vertical="center" wrapText="1"/>
    </xf>
    <xf numFmtId="0" fontId="24" fillId="0" borderId="64" xfId="4" applyFont="1" applyBorder="1" applyAlignment="1">
      <alignment horizontal="center" vertical="center" wrapText="1"/>
    </xf>
    <xf numFmtId="4" fontId="2" fillId="0" borderId="12" xfId="4" applyNumberFormat="1" applyFont="1" applyBorder="1" applyAlignment="1">
      <alignment horizontal="center"/>
    </xf>
    <xf numFmtId="4" fontId="2" fillId="0" borderId="53" xfId="4" applyNumberFormat="1" applyFont="1" applyBorder="1" applyAlignment="1">
      <alignment horizontal="center"/>
    </xf>
    <xf numFmtId="0" fontId="49" fillId="0" borderId="3" xfId="4" applyFont="1" applyBorder="1" applyAlignment="1">
      <alignment horizontal="center" vertical="center"/>
    </xf>
    <xf numFmtId="0" fontId="49" fillId="0" borderId="33" xfId="4" applyFont="1" applyBorder="1" applyAlignment="1">
      <alignment horizontal="center" vertical="center"/>
    </xf>
    <xf numFmtId="0" fontId="49" fillId="0" borderId="27" xfId="4" applyFont="1" applyBorder="1" applyAlignment="1">
      <alignment horizontal="center" vertical="center"/>
    </xf>
    <xf numFmtId="4" fontId="14" fillId="0" borderId="14" xfId="1" applyNumberFormat="1" applyFont="1" applyBorder="1" applyAlignment="1">
      <alignment horizontal="left" vertical="center" wrapText="1" indent="1"/>
    </xf>
    <xf numFmtId="4" fontId="14" fillId="0" borderId="15" xfId="1" applyNumberFormat="1" applyFont="1" applyBorder="1" applyAlignment="1">
      <alignment horizontal="left" vertical="center" wrapText="1" indent="1"/>
    </xf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justify" wrapText="1"/>
    </xf>
    <xf numFmtId="0" fontId="17" fillId="0" borderId="15" xfId="1" applyFont="1" applyBorder="1" applyAlignment="1">
      <alignment horizontal="center" vertical="justify" wrapText="1"/>
    </xf>
    <xf numFmtId="0" fontId="17" fillId="0" borderId="3" xfId="1" applyFont="1" applyBorder="1" applyAlignment="1">
      <alignment horizontal="center" vertical="justify" wrapText="1"/>
    </xf>
    <xf numFmtId="4" fontId="2" fillId="0" borderId="0" xfId="1" applyNumberFormat="1" applyFont="1" applyAlignment="1">
      <alignment horizontal="center" vertical="justify" wrapText="1"/>
    </xf>
    <xf numFmtId="4" fontId="14" fillId="0" borderId="19" xfId="1" applyNumberFormat="1" applyFont="1" applyBorder="1" applyAlignment="1">
      <alignment horizontal="left" vertical="center" wrapText="1"/>
    </xf>
    <xf numFmtId="4" fontId="14" fillId="0" borderId="0" xfId="1" applyNumberFormat="1" applyFont="1" applyAlignment="1">
      <alignment horizontal="left" vertical="center" wrapText="1"/>
    </xf>
    <xf numFmtId="0" fontId="36" fillId="0" borderId="60" xfId="1" applyFont="1" applyBorder="1" applyAlignment="1">
      <alignment horizontal="center" vertical="center"/>
    </xf>
    <xf numFmtId="0" fontId="36" fillId="0" borderId="64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/>
    </xf>
    <xf numFmtId="0" fontId="10" fillId="0" borderId="53" xfId="1" applyFont="1" applyBorder="1" applyAlignment="1">
      <alignment horizontal="center"/>
    </xf>
    <xf numFmtId="4" fontId="35" fillId="0" borderId="48" xfId="1" applyNumberFormat="1" applyFont="1" applyBorder="1" applyAlignment="1">
      <alignment horizontal="center" vertical="center" wrapText="1"/>
    </xf>
    <xf numFmtId="4" fontId="35" fillId="0" borderId="24" xfId="1" applyNumberFormat="1" applyFont="1" applyBorder="1" applyAlignment="1">
      <alignment horizontal="center" vertical="center" wrapText="1"/>
    </xf>
    <xf numFmtId="4" fontId="35" fillId="0" borderId="49" xfId="1" applyNumberFormat="1" applyFont="1" applyBorder="1" applyAlignment="1">
      <alignment horizontal="center" vertical="center" wrapText="1"/>
    </xf>
    <xf numFmtId="4" fontId="14" fillId="0" borderId="19" xfId="1" quotePrefix="1" applyNumberFormat="1" applyFont="1" applyBorder="1" applyAlignment="1">
      <alignment horizontal="left" vertical="center" wrapText="1"/>
    </xf>
    <xf numFmtId="4" fontId="14" fillId="0" borderId="0" xfId="1" quotePrefix="1" applyNumberFormat="1" applyFont="1" applyAlignment="1">
      <alignment horizontal="left" vertical="center" wrapText="1"/>
    </xf>
    <xf numFmtId="4" fontId="35" fillId="0" borderId="48" xfId="1" applyNumberFormat="1" applyFont="1" applyBorder="1" applyAlignment="1">
      <alignment horizontal="center" vertical="center"/>
    </xf>
    <xf numFmtId="4" fontId="35" fillId="0" borderId="24" xfId="1" applyNumberFormat="1" applyFont="1" applyBorder="1" applyAlignment="1">
      <alignment horizontal="center" vertical="center"/>
    </xf>
    <xf numFmtId="4" fontId="35" fillId="0" borderId="49" xfId="1" applyNumberFormat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center" vertical="center" wrapText="1"/>
    </xf>
    <xf numFmtId="0" fontId="17" fillId="0" borderId="25" xfId="1" applyFont="1" applyBorder="1" applyAlignment="1">
      <alignment horizontal="center" vertical="center" wrapText="1"/>
    </xf>
    <xf numFmtId="0" fontId="4" fillId="0" borderId="72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justify" wrapText="1"/>
    </xf>
    <xf numFmtId="0" fontId="3" fillId="0" borderId="0" xfId="1" applyFont="1" applyAlignment="1">
      <alignment horizontal="center" vertical="justify" wrapText="1"/>
    </xf>
    <xf numFmtId="0" fontId="3" fillId="0" borderId="20" xfId="1" applyFont="1" applyBorder="1" applyAlignment="1">
      <alignment horizontal="center" vertical="justify" wrapText="1"/>
    </xf>
    <xf numFmtId="0" fontId="53" fillId="0" borderId="12" xfId="1" applyFont="1" applyBorder="1" applyAlignment="1">
      <alignment horizontal="center" vertical="justify" wrapText="1"/>
    </xf>
    <xf numFmtId="0" fontId="3" fillId="0" borderId="26" xfId="1" applyFont="1" applyBorder="1" applyAlignment="1">
      <alignment vertical="justify" wrapText="1"/>
    </xf>
    <xf numFmtId="0" fontId="3" fillId="0" borderId="0" xfId="1" applyFont="1" applyAlignment="1">
      <alignment vertical="justify" wrapText="1"/>
    </xf>
    <xf numFmtId="0" fontId="3" fillId="0" borderId="20" xfId="1" applyFont="1" applyBorder="1" applyAlignment="1">
      <alignment vertical="justify" wrapText="1"/>
    </xf>
    <xf numFmtId="0" fontId="17" fillId="0" borderId="23" xfId="1" applyFont="1" applyBorder="1" applyAlignment="1">
      <alignment horizontal="center" vertical="justify" wrapText="1"/>
    </xf>
    <xf numFmtId="0" fontId="17" fillId="0" borderId="24" xfId="1" applyFont="1" applyBorder="1" applyAlignment="1">
      <alignment horizontal="center" vertical="justify" wrapText="1"/>
    </xf>
    <xf numFmtId="0" fontId="17" fillId="0" borderId="25" xfId="1" applyFont="1" applyBorder="1" applyAlignment="1">
      <alignment horizontal="center" vertical="justify" wrapText="1"/>
    </xf>
    <xf numFmtId="4" fontId="2" fillId="0" borderId="26" xfId="1" applyNumberFormat="1" applyFont="1" applyBorder="1" applyAlignment="1">
      <alignment horizontal="left" vertical="center" wrapText="1" indent="1"/>
    </xf>
    <xf numFmtId="4" fontId="2" fillId="0" borderId="0" xfId="1" applyNumberFormat="1" applyFont="1" applyAlignment="1">
      <alignment horizontal="left" vertical="center" wrapText="1" indent="1"/>
    </xf>
    <xf numFmtId="4" fontId="2" fillId="0" borderId="20" xfId="1" applyNumberFormat="1" applyFont="1" applyBorder="1" applyAlignment="1">
      <alignment horizontal="left" vertical="center" wrapText="1" indent="1"/>
    </xf>
    <xf numFmtId="0" fontId="17" fillId="0" borderId="8" xfId="1" applyFont="1" applyBorder="1" applyAlignment="1">
      <alignment horizontal="center" vertical="justify" wrapText="1"/>
    </xf>
    <xf numFmtId="4" fontId="2" fillId="0" borderId="26" xfId="1" applyNumberFormat="1" applyFont="1" applyBorder="1" applyAlignment="1">
      <alignment horizontal="left" vertical="justify" wrapText="1"/>
    </xf>
    <xf numFmtId="4" fontId="2" fillId="0" borderId="0" xfId="1" applyNumberFormat="1" applyFont="1" applyAlignment="1">
      <alignment horizontal="left" vertical="justify" wrapText="1"/>
    </xf>
    <xf numFmtId="4" fontId="2" fillId="0" borderId="20" xfId="1" applyNumberFormat="1" applyFont="1" applyBorder="1" applyAlignment="1">
      <alignment horizontal="left" vertical="justify" wrapText="1"/>
    </xf>
    <xf numFmtId="0" fontId="17" fillId="0" borderId="12" xfId="1" applyFont="1" applyBorder="1" applyAlignment="1">
      <alignment horizontal="center" vertical="justify" wrapText="1"/>
    </xf>
    <xf numFmtId="0" fontId="17" fillId="0" borderId="12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justify" wrapText="1"/>
    </xf>
    <xf numFmtId="0" fontId="3" fillId="0" borderId="15" xfId="1" applyFont="1" applyBorder="1" applyAlignment="1">
      <alignment horizontal="center" vertical="justify" wrapText="1"/>
    </xf>
    <xf numFmtId="0" fontId="3" fillId="0" borderId="16" xfId="1" applyFont="1" applyBorder="1" applyAlignment="1">
      <alignment horizontal="center" vertical="justify" wrapText="1"/>
    </xf>
    <xf numFmtId="0" fontId="20" fillId="0" borderId="26" xfId="1" applyFont="1" applyBorder="1" applyAlignment="1">
      <alignment horizontal="center" vertical="justify" wrapText="1"/>
    </xf>
    <xf numFmtId="0" fontId="20" fillId="0" borderId="0" xfId="1" applyFont="1" applyAlignment="1">
      <alignment horizontal="center" vertical="justify" wrapText="1"/>
    </xf>
    <xf numFmtId="0" fontId="3" fillId="0" borderId="17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4" fontId="1" fillId="0" borderId="26" xfId="1" applyNumberFormat="1" applyBorder="1" applyAlignment="1">
      <alignment horizontal="left" vertical="center" wrapText="1"/>
    </xf>
    <xf numFmtId="4" fontId="1" fillId="0" borderId="0" xfId="1" applyNumberFormat="1" applyAlignment="1">
      <alignment horizontal="left" vertical="center" wrapText="1"/>
    </xf>
    <xf numFmtId="4" fontId="1" fillId="0" borderId="20" xfId="1" applyNumberFormat="1" applyBorder="1" applyAlignment="1">
      <alignment horizontal="left" vertical="center" wrapText="1"/>
    </xf>
    <xf numFmtId="0" fontId="23" fillId="0" borderId="26" xfId="1" applyFont="1" applyBorder="1" applyAlignment="1">
      <alignment horizontal="left" vertical="center" wrapText="1"/>
    </xf>
    <xf numFmtId="0" fontId="23" fillId="0" borderId="0" xfId="1" applyFont="1" applyAlignment="1">
      <alignment horizontal="left" vertical="center" wrapText="1"/>
    </xf>
    <xf numFmtId="0" fontId="3" fillId="0" borderId="12" xfId="1" applyFont="1" applyBorder="1" applyAlignment="1">
      <alignment horizontal="center" vertical="justify" wrapText="1"/>
    </xf>
    <xf numFmtId="0" fontId="8" fillId="0" borderId="9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26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20" xfId="1" applyFont="1" applyBorder="1" applyAlignment="1">
      <alignment horizontal="left" vertical="center" wrapText="1"/>
    </xf>
    <xf numFmtId="0" fontId="8" fillId="0" borderId="26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20" xfId="1" applyFont="1" applyBorder="1" applyAlignment="1">
      <alignment vertical="center" wrapText="1"/>
    </xf>
    <xf numFmtId="0" fontId="8" fillId="0" borderId="26" xfId="1" applyFont="1" applyBorder="1" applyAlignment="1">
      <alignment vertical="justify" wrapText="1"/>
    </xf>
    <xf numFmtId="0" fontId="8" fillId="0" borderId="0" xfId="1" applyFont="1" applyAlignment="1">
      <alignment vertical="justify" wrapText="1"/>
    </xf>
    <xf numFmtId="0" fontId="8" fillId="0" borderId="20" xfId="1" applyFont="1" applyBorder="1" applyAlignment="1">
      <alignment vertical="justify" wrapText="1"/>
    </xf>
    <xf numFmtId="0" fontId="17" fillId="0" borderId="26" xfId="1" applyFont="1" applyBorder="1" applyAlignment="1">
      <alignment vertical="justify" wrapText="1"/>
    </xf>
    <xf numFmtId="0" fontId="17" fillId="0" borderId="0" xfId="1" applyFont="1" applyAlignment="1">
      <alignment vertical="justify" wrapText="1"/>
    </xf>
    <xf numFmtId="0" fontId="17" fillId="0" borderId="20" xfId="1" applyFont="1" applyBorder="1" applyAlignment="1">
      <alignment vertical="justify" wrapText="1"/>
    </xf>
    <xf numFmtId="0" fontId="23" fillId="0" borderId="26" xfId="1" applyFont="1" applyBorder="1" applyAlignment="1">
      <alignment vertical="justify" wrapText="1"/>
    </xf>
    <xf numFmtId="0" fontId="23" fillId="0" borderId="0" xfId="1" applyFont="1" applyAlignment="1">
      <alignment vertical="justify" wrapText="1"/>
    </xf>
    <xf numFmtId="0" fontId="23" fillId="0" borderId="20" xfId="1" applyFont="1" applyBorder="1" applyAlignment="1">
      <alignment vertical="justify" wrapText="1"/>
    </xf>
    <xf numFmtId="0" fontId="24" fillId="0" borderId="26" xfId="1" applyFont="1" applyBorder="1" applyAlignment="1">
      <alignment vertical="center" wrapText="1"/>
    </xf>
    <xf numFmtId="0" fontId="24" fillId="0" borderId="0" xfId="1" applyFont="1" applyAlignment="1">
      <alignment vertical="center" wrapText="1"/>
    </xf>
    <xf numFmtId="0" fontId="24" fillId="0" borderId="20" xfId="1" applyFont="1" applyBorder="1" applyAlignment="1">
      <alignment vertical="center" wrapText="1"/>
    </xf>
    <xf numFmtId="0" fontId="1" fillId="0" borderId="12" xfId="1" quotePrefix="1" applyBorder="1" applyAlignment="1">
      <alignment horizontal="left"/>
    </xf>
    <xf numFmtId="0" fontId="1" fillId="0" borderId="12" xfId="1" applyBorder="1" applyAlignment="1">
      <alignment horizontal="left"/>
    </xf>
    <xf numFmtId="0" fontId="8" fillId="0" borderId="26" xfId="1" applyFont="1" applyBorder="1" applyAlignment="1">
      <alignment horizontal="justify" vertical="center" wrapText="1"/>
    </xf>
    <xf numFmtId="0" fontId="8" fillId="0" borderId="0" xfId="1" applyFont="1" applyAlignment="1">
      <alignment horizontal="justify" vertical="center" wrapText="1"/>
    </xf>
    <xf numFmtId="0" fontId="53" fillId="0" borderId="26" xfId="1" applyFont="1" applyBorder="1" applyAlignment="1">
      <alignment horizontal="left" vertical="center" wrapText="1"/>
    </xf>
    <xf numFmtId="0" fontId="53" fillId="0" borderId="0" xfId="1" applyFont="1" applyAlignment="1">
      <alignment horizontal="left" vertical="center" wrapText="1"/>
    </xf>
    <xf numFmtId="0" fontId="45" fillId="0" borderId="70" xfId="1" applyFont="1" applyBorder="1" applyAlignment="1">
      <alignment horizontal="center" vertical="center"/>
    </xf>
    <xf numFmtId="0" fontId="45" fillId="0" borderId="46" xfId="1" applyFont="1" applyBorder="1" applyAlignment="1">
      <alignment horizontal="center" vertical="center"/>
    </xf>
    <xf numFmtId="0" fontId="45" fillId="0" borderId="44" xfId="1" applyFont="1" applyBorder="1" applyAlignment="1">
      <alignment horizontal="center" vertical="center"/>
    </xf>
    <xf numFmtId="4" fontId="6" fillId="0" borderId="60" xfId="1" applyNumberFormat="1" applyFont="1" applyBorder="1" applyAlignment="1">
      <alignment horizontal="center" vertical="center"/>
    </xf>
    <xf numFmtId="4" fontId="6" fillId="0" borderId="3" xfId="1" applyNumberFormat="1" applyFont="1" applyBorder="1" applyAlignment="1">
      <alignment horizontal="center" vertical="center"/>
    </xf>
    <xf numFmtId="4" fontId="6" fillId="0" borderId="50" xfId="1" applyNumberFormat="1" applyFont="1" applyBorder="1" applyAlignment="1">
      <alignment horizontal="center" vertical="center"/>
    </xf>
    <xf numFmtId="4" fontId="6" fillId="0" borderId="55" xfId="1" applyNumberFormat="1" applyFont="1" applyBorder="1" applyAlignment="1">
      <alignment horizontal="center" vertical="center"/>
    </xf>
    <xf numFmtId="4" fontId="6" fillId="0" borderId="25" xfId="1" applyNumberFormat="1" applyFont="1" applyBorder="1" applyAlignment="1">
      <alignment horizontal="center" vertical="center"/>
    </xf>
    <xf numFmtId="4" fontId="6" fillId="0" borderId="12" xfId="1" applyNumberFormat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61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6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2" xfId="1" applyFont="1" applyBorder="1" applyAlignment="1">
      <alignment horizontal="center" vertical="center" wrapText="1"/>
    </xf>
    <xf numFmtId="0" fontId="6" fillId="0" borderId="71" xfId="1" applyFont="1" applyBorder="1" applyAlignment="1">
      <alignment horizontal="center" vertical="center" wrapText="1"/>
    </xf>
    <xf numFmtId="0" fontId="6" fillId="0" borderId="73" xfId="1" applyFont="1" applyBorder="1" applyAlignment="1">
      <alignment horizontal="center" vertical="center" wrapText="1"/>
    </xf>
    <xf numFmtId="4" fontId="2" fillId="0" borderId="68" xfId="1" applyNumberFormat="1" applyFont="1" applyBorder="1" applyAlignment="1">
      <alignment horizontal="center" vertical="center"/>
    </xf>
    <xf numFmtId="4" fontId="2" fillId="0" borderId="20" xfId="1" applyNumberFormat="1" applyFont="1" applyBorder="1" applyAlignment="1">
      <alignment horizontal="center" vertical="center"/>
    </xf>
    <xf numFmtId="4" fontId="2" fillId="0" borderId="43" xfId="1" applyNumberFormat="1" applyFont="1" applyBorder="1" applyAlignment="1">
      <alignment horizontal="center" vertical="center"/>
    </xf>
    <xf numFmtId="4" fontId="2" fillId="0" borderId="74" xfId="1" applyNumberFormat="1" applyFont="1" applyBorder="1" applyAlignment="1">
      <alignment horizontal="center" vertical="center"/>
    </xf>
    <xf numFmtId="4" fontId="2" fillId="0" borderId="41" xfId="1" applyNumberFormat="1" applyFont="1" applyBorder="1" applyAlignment="1">
      <alignment horizontal="center" vertical="center"/>
    </xf>
    <xf numFmtId="4" fontId="2" fillId="0" borderId="42" xfId="1" applyNumberFormat="1" applyFont="1" applyBorder="1" applyAlignment="1">
      <alignment horizontal="center" vertical="center"/>
    </xf>
    <xf numFmtId="4" fontId="2" fillId="0" borderId="68" xfId="1" applyNumberFormat="1" applyFont="1" applyBorder="1" applyAlignment="1">
      <alignment horizontal="center" vertical="center" wrapText="1"/>
    </xf>
    <xf numFmtId="4" fontId="2" fillId="0" borderId="20" xfId="1" applyNumberFormat="1" applyFont="1" applyBorder="1" applyAlignment="1">
      <alignment horizontal="center" vertical="center" wrapText="1"/>
    </xf>
    <xf numFmtId="4" fontId="2" fillId="0" borderId="43" xfId="1" applyNumberFormat="1" applyFont="1" applyBorder="1" applyAlignment="1">
      <alignment horizontal="center" vertical="center" wrapText="1"/>
    </xf>
    <xf numFmtId="4" fontId="2" fillId="0" borderId="69" xfId="1" applyNumberFormat="1" applyFont="1" applyBorder="1" applyAlignment="1">
      <alignment horizontal="center" vertical="center"/>
    </xf>
    <xf numFmtId="4" fontId="2" fillId="0" borderId="62" xfId="1" applyNumberFormat="1" applyFont="1" applyBorder="1" applyAlignment="1">
      <alignment horizontal="center" vertical="center"/>
    </xf>
    <xf numFmtId="4" fontId="2" fillId="0" borderId="63" xfId="1" applyNumberFormat="1" applyFont="1" applyBorder="1" applyAlignment="1">
      <alignment horizontal="center" vertical="center"/>
    </xf>
    <xf numFmtId="0" fontId="8" fillId="0" borderId="68" xfId="1" applyFont="1" applyBorder="1" applyAlignment="1">
      <alignment horizontal="left" vertical="center" wrapText="1"/>
    </xf>
    <xf numFmtId="0" fontId="8" fillId="0" borderId="43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3" fillId="0" borderId="68" xfId="1" applyFont="1" applyBorder="1" applyAlignment="1">
      <alignment horizontal="center" vertical="center" wrapText="1"/>
    </xf>
    <xf numFmtId="0" fontId="3" fillId="0" borderId="43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48" fillId="0" borderId="61" xfId="1" applyFont="1" applyBorder="1" applyAlignment="1">
      <alignment horizontal="center" vertical="center" wrapText="1"/>
    </xf>
    <xf numFmtId="0" fontId="48" fillId="0" borderId="52" xfId="1" applyFont="1" applyBorder="1" applyAlignment="1">
      <alignment horizontal="center" vertical="center" wrapText="1"/>
    </xf>
    <xf numFmtId="0" fontId="8" fillId="0" borderId="68" xfId="1" applyFont="1" applyBorder="1" applyAlignment="1">
      <alignment vertical="center" wrapText="1"/>
    </xf>
    <xf numFmtId="0" fontId="1" fillId="0" borderId="43" xfId="1" applyBorder="1" applyAlignment="1">
      <alignment vertical="center"/>
    </xf>
    <xf numFmtId="0" fontId="1" fillId="0" borderId="26" xfId="1" applyBorder="1" applyAlignment="1">
      <alignment vertical="center"/>
    </xf>
    <xf numFmtId="0" fontId="1" fillId="0" borderId="43" xfId="1" applyBorder="1" applyAlignment="1">
      <alignment vertical="center" wrapText="1"/>
    </xf>
    <xf numFmtId="0" fontId="1" fillId="0" borderId="26" xfId="1" applyBorder="1" applyAlignment="1">
      <alignment vertical="center" wrapText="1"/>
    </xf>
    <xf numFmtId="0" fontId="8" fillId="0" borderId="43" xfId="1" applyFont="1" applyBorder="1" applyAlignment="1">
      <alignment vertical="center" wrapText="1"/>
    </xf>
    <xf numFmtId="0" fontId="8" fillId="0" borderId="69" xfId="1" applyFont="1" applyBorder="1" applyAlignment="1">
      <alignment horizontal="left" vertical="center" wrapText="1"/>
    </xf>
    <xf numFmtId="0" fontId="8" fillId="0" borderId="63" xfId="1" applyFont="1" applyBorder="1" applyAlignment="1">
      <alignment horizontal="left" vertical="center" wrapText="1"/>
    </xf>
    <xf numFmtId="0" fontId="8" fillId="0" borderId="28" xfId="1" applyFont="1" applyBorder="1" applyAlignment="1">
      <alignment horizontal="left" vertical="center" wrapText="1"/>
    </xf>
    <xf numFmtId="0" fontId="8" fillId="0" borderId="27" xfId="1" applyFont="1" applyBorder="1" applyAlignment="1">
      <alignment horizontal="left" vertical="center" wrapText="1"/>
    </xf>
    <xf numFmtId="0" fontId="70" fillId="0" borderId="60" xfId="1" quotePrefix="1" applyFont="1" applyBorder="1" applyAlignment="1">
      <alignment horizontal="center" vertical="center"/>
    </xf>
    <xf numFmtId="0" fontId="70" fillId="0" borderId="50" xfId="1" quotePrefix="1" applyFont="1" applyBorder="1" applyAlignment="1">
      <alignment horizontal="center" vertical="center"/>
    </xf>
    <xf numFmtId="0" fontId="70" fillId="0" borderId="55" xfId="1" quotePrefix="1" applyFont="1" applyBorder="1" applyAlignment="1">
      <alignment horizontal="center" vertical="center"/>
    </xf>
    <xf numFmtId="0" fontId="70" fillId="0" borderId="12" xfId="1" quotePrefix="1" applyFont="1" applyBorder="1" applyAlignment="1">
      <alignment horizontal="center" vertical="center"/>
    </xf>
    <xf numFmtId="0" fontId="4" fillId="0" borderId="66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71" fillId="0" borderId="13" xfId="1" applyFont="1" applyBorder="1" applyAlignment="1">
      <alignment horizontal="center" vertical="center" wrapText="1"/>
    </xf>
    <xf numFmtId="0" fontId="71" fillId="0" borderId="18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0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20" xfId="1" applyBorder="1" applyAlignment="1">
      <alignment horizontal="left" vertical="center" wrapText="1"/>
    </xf>
  </cellXfs>
  <cellStyles count="6">
    <cellStyle name="Euro" xfId="2" xr:uid="{00000000-0005-0000-0000-000000000000}"/>
    <cellStyle name="Normal" xfId="0" builtinId="0"/>
    <cellStyle name="Normal 2" xfId="1" xr:uid="{00000000-0005-0000-0000-000002000000}"/>
    <cellStyle name="Normal 3" xfId="4" xr:uid="{00000000-0005-0000-0000-000003000000}"/>
    <cellStyle name="Vírgula" xfId="5" builtinId="3"/>
    <cellStyle name="Vírgula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5"/>
  <sheetViews>
    <sheetView topLeftCell="A367" workbookViewId="0">
      <selection activeCell="L275" sqref="L275"/>
    </sheetView>
  </sheetViews>
  <sheetFormatPr defaultRowHeight="15" x14ac:dyDescent="0.25"/>
  <cols>
    <col min="1" max="1" width="2" style="137" customWidth="1"/>
    <col min="2" max="2" width="13.85546875" style="137" customWidth="1"/>
    <col min="3" max="3" width="16" style="137" customWidth="1"/>
    <col min="4" max="4" width="10.7109375" style="137" customWidth="1"/>
    <col min="5" max="5" width="8.140625" style="137" customWidth="1"/>
    <col min="6" max="6" width="13.7109375" style="137" customWidth="1"/>
    <col min="7" max="7" width="17.42578125" style="137" customWidth="1"/>
    <col min="8" max="8" width="23.85546875" style="205" customWidth="1"/>
    <col min="9" max="9" width="13.140625" style="231" customWidth="1"/>
  </cols>
  <sheetData>
    <row r="1" spans="1:9" ht="21" thickBot="1" x14ac:dyDescent="0.3">
      <c r="A1" s="136"/>
      <c r="B1" s="745" t="s">
        <v>647</v>
      </c>
      <c r="C1" s="746"/>
      <c r="D1" s="746"/>
      <c r="E1" s="746"/>
      <c r="F1" s="746"/>
      <c r="G1" s="746"/>
      <c r="H1" s="746"/>
      <c r="I1" s="747"/>
    </row>
    <row r="2" spans="1:9" x14ac:dyDescent="0.25">
      <c r="B2" s="682" t="s">
        <v>505</v>
      </c>
      <c r="C2" s="683"/>
      <c r="D2" s="683"/>
      <c r="E2" s="683"/>
      <c r="F2" s="683"/>
      <c r="G2" s="683"/>
      <c r="H2" s="683"/>
      <c r="I2" s="684"/>
    </row>
    <row r="3" spans="1:9" ht="15.75" thickBot="1" x14ac:dyDescent="0.3">
      <c r="B3" s="748" t="s">
        <v>263</v>
      </c>
      <c r="C3" s="749"/>
      <c r="D3" s="749"/>
      <c r="E3" s="749"/>
      <c r="F3" s="749"/>
      <c r="G3" s="749"/>
      <c r="H3" s="749"/>
      <c r="I3" s="750"/>
    </row>
    <row r="4" spans="1:9" x14ac:dyDescent="0.25">
      <c r="B4" s="751" t="s">
        <v>1</v>
      </c>
      <c r="C4" s="752"/>
      <c r="D4" s="752"/>
      <c r="E4" s="752"/>
      <c r="F4" s="752"/>
      <c r="G4" s="752"/>
      <c r="H4" s="753"/>
      <c r="I4" s="235" t="s">
        <v>264</v>
      </c>
    </row>
    <row r="5" spans="1:9" ht="49.5" customHeight="1" x14ac:dyDescent="0.25">
      <c r="B5" s="738" t="s">
        <v>478</v>
      </c>
      <c r="C5" s="738"/>
      <c r="D5" s="738"/>
      <c r="E5" s="738"/>
      <c r="F5" s="738"/>
      <c r="G5" s="738"/>
      <c r="H5" s="738"/>
      <c r="I5" s="140">
        <v>30.22</v>
      </c>
    </row>
    <row r="6" spans="1:9" ht="33.75" customHeight="1" x14ac:dyDescent="0.25">
      <c r="B6" s="754" t="s">
        <v>476</v>
      </c>
      <c r="C6" s="755"/>
      <c r="D6" s="755"/>
      <c r="E6" s="755"/>
      <c r="F6" s="755"/>
      <c r="G6" s="755"/>
      <c r="H6" s="756"/>
      <c r="I6" s="140">
        <v>30.22</v>
      </c>
    </row>
    <row r="7" spans="1:9" x14ac:dyDescent="0.25">
      <c r="B7" s="759" t="s">
        <v>265</v>
      </c>
      <c r="C7" s="759"/>
      <c r="D7" s="759"/>
      <c r="E7" s="759"/>
      <c r="F7" s="759"/>
      <c r="G7" s="759"/>
      <c r="H7" s="759"/>
      <c r="I7" s="140">
        <v>26.22</v>
      </c>
    </row>
    <row r="8" spans="1:9" x14ac:dyDescent="0.25">
      <c r="B8" s="759" t="s">
        <v>266</v>
      </c>
      <c r="C8" s="759"/>
      <c r="D8" s="759"/>
      <c r="E8" s="759"/>
      <c r="F8" s="759"/>
      <c r="G8" s="759"/>
      <c r="H8" s="759"/>
      <c r="I8" s="140">
        <v>92.11</v>
      </c>
    </row>
    <row r="9" spans="1:9" x14ac:dyDescent="0.25">
      <c r="B9" s="760" t="s">
        <v>267</v>
      </c>
      <c r="C9" s="760"/>
      <c r="D9" s="760"/>
      <c r="E9" s="760"/>
      <c r="F9" s="760"/>
      <c r="G9" s="760"/>
      <c r="H9" s="760"/>
      <c r="I9" s="245" t="s">
        <v>424</v>
      </c>
    </row>
    <row r="10" spans="1:9" x14ac:dyDescent="0.25">
      <c r="B10" s="758" t="s">
        <v>268</v>
      </c>
      <c r="C10" s="758"/>
      <c r="D10" s="758"/>
      <c r="E10" s="758"/>
      <c r="F10" s="758"/>
      <c r="G10" s="758"/>
      <c r="H10" s="758"/>
      <c r="I10" s="140">
        <v>241.22</v>
      </c>
    </row>
    <row r="11" spans="1:9" x14ac:dyDescent="0.25">
      <c r="B11" s="758" t="s">
        <v>269</v>
      </c>
      <c r="C11" s="758"/>
      <c r="D11" s="758"/>
      <c r="E11" s="758"/>
      <c r="F11" s="758"/>
      <c r="G11" s="758"/>
      <c r="H11" s="758"/>
      <c r="I11" s="140">
        <v>364.46</v>
      </c>
    </row>
    <row r="12" spans="1:9" x14ac:dyDescent="0.25">
      <c r="B12" s="758" t="s">
        <v>270</v>
      </c>
      <c r="C12" s="758"/>
      <c r="D12" s="758"/>
      <c r="E12" s="758"/>
      <c r="F12" s="758"/>
      <c r="G12" s="758"/>
      <c r="H12" s="758"/>
      <c r="I12" s="140">
        <v>241.22</v>
      </c>
    </row>
    <row r="13" spans="1:9" x14ac:dyDescent="0.25">
      <c r="B13" s="758" t="s">
        <v>271</v>
      </c>
      <c r="C13" s="758"/>
      <c r="D13" s="758"/>
      <c r="E13" s="758"/>
      <c r="F13" s="758"/>
      <c r="G13" s="758"/>
      <c r="H13" s="758"/>
      <c r="I13" s="140">
        <v>245.79</v>
      </c>
    </row>
    <row r="14" spans="1:9" x14ac:dyDescent="0.25">
      <c r="B14" s="758" t="s">
        <v>272</v>
      </c>
      <c r="C14" s="758"/>
      <c r="D14" s="758"/>
      <c r="E14" s="758"/>
      <c r="F14" s="758"/>
      <c r="G14" s="758"/>
      <c r="H14" s="758"/>
      <c r="I14" s="245" t="s">
        <v>424</v>
      </c>
    </row>
    <row r="15" spans="1:9" x14ac:dyDescent="0.25">
      <c r="B15" s="758" t="s">
        <v>268</v>
      </c>
      <c r="C15" s="758"/>
      <c r="D15" s="758"/>
      <c r="E15" s="758"/>
      <c r="F15" s="758"/>
      <c r="G15" s="758"/>
      <c r="H15" s="758"/>
      <c r="I15" s="140">
        <v>364.46</v>
      </c>
    </row>
    <row r="16" spans="1:9" x14ac:dyDescent="0.25">
      <c r="B16" s="758" t="s">
        <v>273</v>
      </c>
      <c r="C16" s="758"/>
      <c r="D16" s="758"/>
      <c r="E16" s="758"/>
      <c r="F16" s="758"/>
      <c r="G16" s="758"/>
      <c r="H16" s="758"/>
      <c r="I16" s="140">
        <v>241.22</v>
      </c>
    </row>
    <row r="17" spans="2:9" x14ac:dyDescent="0.25">
      <c r="B17" s="758" t="s">
        <v>274</v>
      </c>
      <c r="C17" s="758"/>
      <c r="D17" s="758"/>
      <c r="E17" s="758"/>
      <c r="F17" s="758"/>
      <c r="G17" s="758"/>
      <c r="H17" s="758"/>
      <c r="I17" s="141">
        <v>0.04</v>
      </c>
    </row>
    <row r="18" spans="2:9" x14ac:dyDescent="0.25">
      <c r="B18" s="758" t="s">
        <v>275</v>
      </c>
      <c r="C18" s="758"/>
      <c r="D18" s="758"/>
      <c r="E18" s="758"/>
      <c r="F18" s="758"/>
      <c r="G18" s="758"/>
      <c r="H18" s="758"/>
      <c r="I18" s="140">
        <v>364.46</v>
      </c>
    </row>
    <row r="19" spans="2:9" ht="15.75" thickBot="1" x14ac:dyDescent="0.3">
      <c r="H19" s="142"/>
      <c r="I19" s="143"/>
    </row>
    <row r="20" spans="2:9" x14ac:dyDescent="0.25">
      <c r="B20" s="682" t="s">
        <v>276</v>
      </c>
      <c r="C20" s="683"/>
      <c r="D20" s="683"/>
      <c r="E20" s="683"/>
      <c r="F20" s="683"/>
      <c r="G20" s="683"/>
      <c r="H20" s="683"/>
      <c r="I20" s="684"/>
    </row>
    <row r="21" spans="2:9" ht="15.75" thickBot="1" x14ac:dyDescent="0.3">
      <c r="B21" s="685" t="s">
        <v>277</v>
      </c>
      <c r="C21" s="686"/>
      <c r="D21" s="686"/>
      <c r="E21" s="686"/>
      <c r="F21" s="686"/>
      <c r="G21" s="686"/>
      <c r="H21" s="686"/>
      <c r="I21" s="687"/>
    </row>
    <row r="22" spans="2:9" x14ac:dyDescent="0.25">
      <c r="B22" s="688" t="s">
        <v>1</v>
      </c>
      <c r="C22" s="688"/>
      <c r="D22" s="688"/>
      <c r="E22" s="688"/>
      <c r="F22" s="688"/>
      <c r="G22" s="688"/>
      <c r="H22" s="689"/>
      <c r="I22" s="235" t="s">
        <v>264</v>
      </c>
    </row>
    <row r="23" spans="2:9" ht="66" customHeight="1" x14ac:dyDescent="0.25">
      <c r="B23" s="738" t="s">
        <v>409</v>
      </c>
      <c r="C23" s="738"/>
      <c r="D23" s="738"/>
      <c r="E23" s="738"/>
      <c r="F23" s="738"/>
      <c r="G23" s="738"/>
      <c r="H23" s="738"/>
      <c r="I23" s="140">
        <v>350.99</v>
      </c>
    </row>
    <row r="24" spans="2:9" ht="75.75" customHeight="1" x14ac:dyDescent="0.25">
      <c r="B24" s="738" t="s">
        <v>278</v>
      </c>
      <c r="C24" s="738"/>
      <c r="D24" s="738"/>
      <c r="E24" s="738"/>
      <c r="F24" s="738"/>
      <c r="G24" s="738"/>
      <c r="H24" s="738"/>
      <c r="I24" s="140">
        <v>451.27</v>
      </c>
    </row>
    <row r="25" spans="2:9" ht="59.25" customHeight="1" x14ac:dyDescent="0.25">
      <c r="B25" s="738" t="s">
        <v>410</v>
      </c>
      <c r="C25" s="738"/>
      <c r="D25" s="738"/>
      <c r="E25" s="738"/>
      <c r="F25" s="738"/>
      <c r="G25" s="738"/>
      <c r="H25" s="738"/>
      <c r="I25" s="245" t="s">
        <v>424</v>
      </c>
    </row>
    <row r="26" spans="2:9" ht="17.25" customHeight="1" x14ac:dyDescent="0.25">
      <c r="B26" s="757" t="s">
        <v>411</v>
      </c>
      <c r="C26" s="757"/>
      <c r="D26" s="138"/>
      <c r="E26" s="138"/>
      <c r="F26" s="757" t="s">
        <v>412</v>
      </c>
      <c r="G26" s="757"/>
      <c r="H26" s="139"/>
      <c r="I26" s="145"/>
    </row>
    <row r="27" spans="2:9" ht="15" customHeight="1" x14ac:dyDescent="0.25">
      <c r="B27" s="724">
        <v>0.01</v>
      </c>
      <c r="C27" s="724"/>
      <c r="D27" s="142"/>
      <c r="E27" s="142"/>
      <c r="F27" s="737">
        <v>614504.12</v>
      </c>
      <c r="G27" s="724"/>
      <c r="H27" s="146"/>
      <c r="I27" s="140">
        <v>110.6</v>
      </c>
    </row>
    <row r="28" spans="2:9" x14ac:dyDescent="0.25">
      <c r="B28" s="737">
        <f>F27+0.01</f>
        <v>614504.13</v>
      </c>
      <c r="C28" s="737"/>
      <c r="D28" s="142"/>
      <c r="E28" s="142"/>
      <c r="F28" s="737">
        <v>1843512.4</v>
      </c>
      <c r="G28" s="737"/>
      <c r="H28" s="146"/>
      <c r="I28" s="140">
        <v>221.21</v>
      </c>
    </row>
    <row r="29" spans="2:9" ht="15" customHeight="1" x14ac:dyDescent="0.25">
      <c r="B29" s="737">
        <f>F28+0.01</f>
        <v>1843512.41</v>
      </c>
      <c r="C29" s="737"/>
      <c r="D29" s="142"/>
      <c r="E29" s="142"/>
      <c r="F29" s="737">
        <v>3687024.81</v>
      </c>
      <c r="G29" s="737"/>
      <c r="H29" s="146"/>
      <c r="I29" s="140">
        <v>442.43</v>
      </c>
    </row>
    <row r="30" spans="2:9" ht="15" customHeight="1" x14ac:dyDescent="0.25">
      <c r="B30" s="737">
        <f t="shared" ref="B30:B32" si="0">F29+0.01</f>
        <v>3687024.82</v>
      </c>
      <c r="C30" s="737"/>
      <c r="D30" s="142"/>
      <c r="E30" s="142"/>
      <c r="F30" s="737">
        <v>5530537.2199999997</v>
      </c>
      <c r="G30" s="737"/>
      <c r="H30" s="146"/>
      <c r="I30" s="140">
        <v>663.65</v>
      </c>
    </row>
    <row r="31" spans="2:9" ht="15" customHeight="1" x14ac:dyDescent="0.25">
      <c r="B31" s="737">
        <f t="shared" si="0"/>
        <v>5530537.2299999995</v>
      </c>
      <c r="C31" s="737"/>
      <c r="D31" s="142"/>
      <c r="E31" s="142"/>
      <c r="F31" s="737">
        <v>7374049.6299999999</v>
      </c>
      <c r="G31" s="737"/>
      <c r="H31" s="146"/>
      <c r="I31" s="140">
        <v>884.87</v>
      </c>
    </row>
    <row r="32" spans="2:9" ht="15" customHeight="1" x14ac:dyDescent="0.25">
      <c r="B32" s="737">
        <f t="shared" si="0"/>
        <v>7374049.6399999997</v>
      </c>
      <c r="C32" s="737"/>
      <c r="D32" s="147"/>
      <c r="E32" s="147"/>
      <c r="F32" s="737">
        <v>9217562.0500000007</v>
      </c>
      <c r="G32" s="724"/>
      <c r="H32" s="148"/>
      <c r="I32" s="140">
        <v>1106.0999999999999</v>
      </c>
    </row>
    <row r="33" spans="2:9" ht="15" customHeight="1" x14ac:dyDescent="0.25">
      <c r="B33" s="724" t="s">
        <v>648</v>
      </c>
      <c r="C33" s="724"/>
      <c r="D33" s="149"/>
      <c r="E33" s="150"/>
      <c r="F33" s="737"/>
      <c r="G33" s="724"/>
      <c r="H33" s="148"/>
      <c r="I33" s="234">
        <v>1327.32</v>
      </c>
    </row>
    <row r="34" spans="2:9" ht="7.5" customHeight="1" x14ac:dyDescent="0.25">
      <c r="B34" s="233"/>
      <c r="C34" s="233"/>
      <c r="D34" s="149"/>
      <c r="E34" s="150"/>
      <c r="F34" s="182"/>
      <c r="G34" s="142"/>
      <c r="H34" s="148"/>
      <c r="I34" s="232"/>
    </row>
    <row r="35" spans="2:9" x14ac:dyDescent="0.25">
      <c r="B35" s="726" t="s">
        <v>279</v>
      </c>
      <c r="C35" s="726"/>
      <c r="D35" s="726"/>
      <c r="E35" s="726"/>
      <c r="F35" s="726"/>
      <c r="G35" s="726"/>
      <c r="H35" s="726"/>
      <c r="I35" s="140">
        <v>208.92</v>
      </c>
    </row>
    <row r="36" spans="2:9" x14ac:dyDescent="0.25">
      <c r="B36" s="726" t="s">
        <v>280</v>
      </c>
      <c r="C36" s="726"/>
      <c r="D36" s="726"/>
      <c r="E36" s="726"/>
      <c r="F36" s="726"/>
      <c r="G36" s="726"/>
      <c r="H36" s="726"/>
      <c r="I36" s="140">
        <v>245.79</v>
      </c>
    </row>
    <row r="37" spans="2:9" ht="33" customHeight="1" x14ac:dyDescent="0.25">
      <c r="B37" s="734" t="s">
        <v>281</v>
      </c>
      <c r="C37" s="735"/>
      <c r="D37" s="735"/>
      <c r="E37" s="735"/>
      <c r="F37" s="735"/>
      <c r="G37" s="735"/>
      <c r="H37" s="736"/>
      <c r="I37" s="140">
        <v>86.02</v>
      </c>
    </row>
    <row r="38" spans="2:9" ht="20.25" customHeight="1" x14ac:dyDescent="0.25">
      <c r="B38" s="726" t="s">
        <v>413</v>
      </c>
      <c r="C38" s="726"/>
      <c r="D38" s="726"/>
      <c r="E38" s="726"/>
      <c r="F38" s="726"/>
      <c r="G38" s="726"/>
      <c r="H38" s="726"/>
      <c r="I38" s="140">
        <v>159.76</v>
      </c>
    </row>
    <row r="39" spans="2:9" x14ac:dyDescent="0.25">
      <c r="B39" s="726" t="s">
        <v>282</v>
      </c>
      <c r="C39" s="726"/>
      <c r="D39" s="726"/>
      <c r="E39" s="726"/>
      <c r="F39" s="726"/>
      <c r="G39" s="726"/>
      <c r="H39" s="726"/>
      <c r="I39" s="140">
        <v>61.44</v>
      </c>
    </row>
    <row r="40" spans="2:9" ht="30.75" customHeight="1" x14ac:dyDescent="0.25">
      <c r="B40" s="731" t="s">
        <v>414</v>
      </c>
      <c r="C40" s="732"/>
      <c r="D40" s="732"/>
      <c r="E40" s="732"/>
      <c r="F40" s="732"/>
      <c r="G40" s="732"/>
      <c r="H40" s="733"/>
      <c r="I40" s="140">
        <v>208.92</v>
      </c>
    </row>
    <row r="41" spans="2:9" ht="28.5" customHeight="1" x14ac:dyDescent="0.25">
      <c r="B41" s="726" t="s">
        <v>415</v>
      </c>
      <c r="C41" s="726"/>
      <c r="D41" s="726"/>
      <c r="E41" s="726"/>
      <c r="F41" s="726"/>
      <c r="G41" s="726"/>
      <c r="H41" s="726"/>
      <c r="I41" s="140">
        <v>135.18</v>
      </c>
    </row>
    <row r="42" spans="2:9" x14ac:dyDescent="0.25">
      <c r="B42" s="726" t="s">
        <v>283</v>
      </c>
      <c r="C42" s="726"/>
      <c r="D42" s="726"/>
      <c r="E42" s="726"/>
      <c r="F42" s="726"/>
      <c r="G42" s="726"/>
      <c r="H42" s="726"/>
      <c r="I42" s="140">
        <v>196.63</v>
      </c>
    </row>
    <row r="43" spans="2:9" x14ac:dyDescent="0.25">
      <c r="B43" s="726" t="s">
        <v>284</v>
      </c>
      <c r="C43" s="726"/>
      <c r="D43" s="726"/>
      <c r="E43" s="726"/>
      <c r="F43" s="726"/>
      <c r="G43" s="726"/>
      <c r="H43" s="726"/>
      <c r="I43" s="140">
        <v>122.89</v>
      </c>
    </row>
    <row r="44" spans="2:9" x14ac:dyDescent="0.25">
      <c r="B44" s="726" t="s">
        <v>285</v>
      </c>
      <c r="C44" s="726"/>
      <c r="D44" s="726"/>
      <c r="E44" s="726"/>
      <c r="F44" s="726"/>
      <c r="G44" s="726"/>
      <c r="H44" s="726"/>
      <c r="I44" s="140">
        <v>270.38</v>
      </c>
    </row>
    <row r="45" spans="2:9" x14ac:dyDescent="0.25">
      <c r="B45" s="726" t="s">
        <v>286</v>
      </c>
      <c r="C45" s="726"/>
      <c r="D45" s="726"/>
      <c r="E45" s="726"/>
      <c r="F45" s="726"/>
      <c r="G45" s="726"/>
      <c r="H45" s="726"/>
      <c r="I45" s="140">
        <v>258.08999999999997</v>
      </c>
    </row>
    <row r="46" spans="2:9" x14ac:dyDescent="0.25">
      <c r="B46" s="726" t="s">
        <v>287</v>
      </c>
      <c r="C46" s="726"/>
      <c r="D46" s="726"/>
      <c r="E46" s="726"/>
      <c r="F46" s="726"/>
      <c r="G46" s="726"/>
      <c r="H46" s="726"/>
      <c r="I46" s="140">
        <v>36.86</v>
      </c>
    </row>
    <row r="47" spans="2:9" ht="44.25" customHeight="1" x14ac:dyDescent="0.25">
      <c r="B47" s="727" t="s">
        <v>416</v>
      </c>
      <c r="C47" s="728"/>
      <c r="D47" s="728"/>
      <c r="E47" s="728"/>
      <c r="F47" s="728"/>
      <c r="G47" s="728"/>
      <c r="H47" s="729"/>
      <c r="I47" s="140">
        <v>122.89</v>
      </c>
    </row>
    <row r="48" spans="2:9" ht="27.75" customHeight="1" x14ac:dyDescent="0.25">
      <c r="B48" s="730" t="s">
        <v>288</v>
      </c>
      <c r="C48" s="730"/>
      <c r="D48" s="730"/>
      <c r="E48" s="730"/>
      <c r="F48" s="730"/>
      <c r="G48" s="730"/>
      <c r="H48" s="730"/>
      <c r="I48" s="140">
        <v>208.92</v>
      </c>
    </row>
    <row r="49" spans="1:9" ht="28.5" customHeight="1" x14ac:dyDescent="0.25">
      <c r="B49" s="727" t="s">
        <v>289</v>
      </c>
      <c r="C49" s="728"/>
      <c r="D49" s="728"/>
      <c r="E49" s="728"/>
      <c r="F49" s="728"/>
      <c r="G49" s="728"/>
      <c r="H49" s="729"/>
      <c r="I49" s="140">
        <v>208.92</v>
      </c>
    </row>
    <row r="50" spans="1:9" ht="15.75" thickBot="1" x14ac:dyDescent="0.3">
      <c r="H50" s="142"/>
      <c r="I50" s="143"/>
    </row>
    <row r="51" spans="1:9" x14ac:dyDescent="0.25">
      <c r="B51" s="682" t="s">
        <v>290</v>
      </c>
      <c r="C51" s="683"/>
      <c r="D51" s="683"/>
      <c r="E51" s="683"/>
      <c r="F51" s="683"/>
      <c r="G51" s="683"/>
      <c r="H51" s="683"/>
      <c r="I51" s="684"/>
    </row>
    <row r="52" spans="1:9" ht="15.75" thickBot="1" x14ac:dyDescent="0.3">
      <c r="B52" s="685" t="s">
        <v>38</v>
      </c>
      <c r="C52" s="686"/>
      <c r="D52" s="686"/>
      <c r="E52" s="686"/>
      <c r="F52" s="686"/>
      <c r="G52" s="686"/>
      <c r="H52" s="686"/>
      <c r="I52" s="687"/>
    </row>
    <row r="53" spans="1:9" x14ac:dyDescent="0.25">
      <c r="B53" s="724" t="s">
        <v>1</v>
      </c>
      <c r="C53" s="724"/>
      <c r="D53" s="724"/>
      <c r="E53" s="724"/>
      <c r="F53" s="724"/>
      <c r="G53" s="724"/>
      <c r="H53" s="725"/>
      <c r="I53" s="241" t="s">
        <v>264</v>
      </c>
    </row>
    <row r="54" spans="1:9" x14ac:dyDescent="0.25">
      <c r="B54" s="673" t="s">
        <v>46</v>
      </c>
      <c r="C54" s="673"/>
      <c r="D54" s="673"/>
      <c r="E54" s="673"/>
      <c r="F54" s="673"/>
      <c r="G54" s="673"/>
      <c r="H54" s="674"/>
      <c r="I54" s="151"/>
    </row>
    <row r="55" spans="1:9" x14ac:dyDescent="0.25">
      <c r="B55" s="700" t="s">
        <v>47</v>
      </c>
      <c r="C55" s="700"/>
      <c r="D55" s="700"/>
      <c r="E55" s="700"/>
      <c r="F55" s="700"/>
      <c r="G55" s="700"/>
      <c r="H55" s="701"/>
      <c r="I55" s="140">
        <v>199.17</v>
      </c>
    </row>
    <row r="56" spans="1:9" x14ac:dyDescent="0.25">
      <c r="B56" s="700" t="s">
        <v>291</v>
      </c>
      <c r="C56" s="700"/>
      <c r="D56" s="700"/>
      <c r="E56" s="700"/>
      <c r="F56" s="700"/>
      <c r="G56" s="700"/>
      <c r="H56" s="701"/>
      <c r="I56" s="245" t="s">
        <v>424</v>
      </c>
    </row>
    <row r="57" spans="1:9" x14ac:dyDescent="0.25">
      <c r="B57" s="152" t="s">
        <v>49</v>
      </c>
      <c r="C57" s="152"/>
      <c r="D57" s="152"/>
      <c r="E57" s="152"/>
      <c r="F57" s="152"/>
      <c r="G57" s="152"/>
      <c r="H57" s="153" t="s">
        <v>50</v>
      </c>
      <c r="I57" s="245" t="s">
        <v>424</v>
      </c>
    </row>
    <row r="58" spans="1:9" x14ac:dyDescent="0.25">
      <c r="A58" s="154"/>
      <c r="B58" s="155">
        <v>0.01</v>
      </c>
      <c r="C58" s="156"/>
      <c r="D58" s="156"/>
      <c r="E58" s="156" t="s">
        <v>11</v>
      </c>
      <c r="F58" s="156"/>
      <c r="G58" s="156"/>
      <c r="H58" s="157">
        <v>18435.099999999999</v>
      </c>
      <c r="I58" s="158">
        <v>286.39</v>
      </c>
    </row>
    <row r="59" spans="1:9" x14ac:dyDescent="0.25">
      <c r="A59" s="154"/>
      <c r="B59" s="155">
        <f t="shared" ref="B59:B65" si="1">H58+0.01</f>
        <v>18435.109999999997</v>
      </c>
      <c r="C59" s="156"/>
      <c r="D59" s="156"/>
      <c r="E59" s="156" t="s">
        <v>11</v>
      </c>
      <c r="F59" s="156"/>
      <c r="G59" s="156"/>
      <c r="H59" s="157">
        <v>36870.230000000003</v>
      </c>
      <c r="I59" s="158">
        <v>473.23</v>
      </c>
    </row>
    <row r="60" spans="1:9" x14ac:dyDescent="0.25">
      <c r="A60" s="154"/>
      <c r="B60" s="155">
        <f t="shared" si="1"/>
        <v>36870.240000000005</v>
      </c>
      <c r="C60" s="156"/>
      <c r="D60" s="156"/>
      <c r="E60" s="156" t="s">
        <v>11</v>
      </c>
      <c r="F60" s="156"/>
      <c r="G60" s="156"/>
      <c r="H60" s="157">
        <v>55305.35</v>
      </c>
      <c r="I60" s="158">
        <v>660.14</v>
      </c>
    </row>
    <row r="61" spans="1:9" x14ac:dyDescent="0.25">
      <c r="A61" s="154"/>
      <c r="B61" s="155">
        <f t="shared" si="1"/>
        <v>55305.36</v>
      </c>
      <c r="C61" s="156"/>
      <c r="D61" s="156"/>
      <c r="E61" s="156" t="s">
        <v>11</v>
      </c>
      <c r="F61" s="156"/>
      <c r="G61" s="156"/>
      <c r="H61" s="157">
        <v>73740.490000000005</v>
      </c>
      <c r="I61" s="158">
        <v>809.58</v>
      </c>
    </row>
    <row r="62" spans="1:9" x14ac:dyDescent="0.25">
      <c r="A62" s="154"/>
      <c r="B62" s="155">
        <f t="shared" si="1"/>
        <v>73740.5</v>
      </c>
      <c r="C62" s="156"/>
      <c r="D62" s="156"/>
      <c r="E62" s="156" t="s">
        <v>11</v>
      </c>
      <c r="F62" s="156"/>
      <c r="G62" s="156"/>
      <c r="H62" s="157">
        <v>98320.639999999999</v>
      </c>
      <c r="I62" s="158">
        <v>1434.96</v>
      </c>
    </row>
    <row r="63" spans="1:9" x14ac:dyDescent="0.25">
      <c r="A63" s="154"/>
      <c r="B63" s="155">
        <f t="shared" si="1"/>
        <v>98320.65</v>
      </c>
      <c r="C63" s="156"/>
      <c r="D63" s="156"/>
      <c r="E63" s="156" t="s">
        <v>11</v>
      </c>
      <c r="F63" s="156"/>
      <c r="G63" s="156"/>
      <c r="H63" s="157">
        <v>122900.81</v>
      </c>
      <c r="I63" s="158">
        <v>1694.09</v>
      </c>
    </row>
    <row r="64" spans="1:9" x14ac:dyDescent="0.25">
      <c r="A64" s="154"/>
      <c r="B64" s="155">
        <f t="shared" si="1"/>
        <v>122900.81999999999</v>
      </c>
      <c r="C64" s="156"/>
      <c r="D64" s="156"/>
      <c r="E64" s="156" t="s">
        <v>11</v>
      </c>
      <c r="F64" s="156"/>
      <c r="G64" s="156"/>
      <c r="H64" s="157">
        <v>245801.64</v>
      </c>
      <c r="I64" s="158">
        <v>2291.9899999999998</v>
      </c>
    </row>
    <row r="65" spans="1:9" x14ac:dyDescent="0.25">
      <c r="A65" s="154"/>
      <c r="B65" s="155">
        <f t="shared" si="1"/>
        <v>245801.65000000002</v>
      </c>
      <c r="C65" s="156"/>
      <c r="D65" s="156"/>
      <c r="E65" s="156" t="s">
        <v>11</v>
      </c>
      <c r="F65" s="156"/>
      <c r="G65" s="156"/>
      <c r="H65" s="157">
        <v>491603.3</v>
      </c>
      <c r="I65" s="158">
        <v>2466.44</v>
      </c>
    </row>
    <row r="66" spans="1:9" x14ac:dyDescent="0.25">
      <c r="A66" s="159"/>
      <c r="B66" s="160" t="s">
        <v>649</v>
      </c>
      <c r="C66" s="156"/>
      <c r="D66" s="156"/>
      <c r="E66" s="156"/>
      <c r="F66" s="156"/>
      <c r="G66" s="156"/>
      <c r="H66" s="157"/>
      <c r="I66" s="140">
        <v>220.93</v>
      </c>
    </row>
    <row r="67" spans="1:9" x14ac:dyDescent="0.25">
      <c r="A67" s="161"/>
      <c r="B67" s="162" t="s">
        <v>460</v>
      </c>
      <c r="C67" s="156"/>
      <c r="D67" s="156"/>
      <c r="E67" s="156"/>
      <c r="F67" s="156"/>
      <c r="G67" s="156"/>
      <c r="H67" s="157"/>
      <c r="I67" s="309">
        <v>80763.600000000006</v>
      </c>
    </row>
    <row r="68" spans="1:9" x14ac:dyDescent="0.25">
      <c r="A68" s="161"/>
      <c r="B68" s="162" t="s">
        <v>466</v>
      </c>
      <c r="C68" s="156"/>
      <c r="D68" s="156"/>
      <c r="E68" s="156"/>
      <c r="F68" s="156"/>
      <c r="G68" s="156"/>
      <c r="H68" s="156"/>
      <c r="I68" s="240"/>
    </row>
    <row r="69" spans="1:9" x14ac:dyDescent="0.25">
      <c r="A69" s="161"/>
      <c r="B69" s="186" t="s">
        <v>417</v>
      </c>
      <c r="C69" s="156"/>
      <c r="D69" s="156"/>
      <c r="E69" s="156"/>
      <c r="F69" s="156"/>
      <c r="G69" s="156"/>
      <c r="H69" s="156"/>
      <c r="I69" s="163"/>
    </row>
    <row r="70" spans="1:9" ht="15.75" thickBot="1" x14ac:dyDescent="0.3">
      <c r="A70" s="161"/>
      <c r="C70" s="156"/>
      <c r="D70" s="156"/>
      <c r="E70" s="156"/>
      <c r="F70" s="156"/>
      <c r="G70" s="156"/>
      <c r="H70" s="156"/>
      <c r="I70" s="163"/>
    </row>
    <row r="71" spans="1:9" x14ac:dyDescent="0.25">
      <c r="A71" s="154"/>
      <c r="B71" s="682" t="s">
        <v>292</v>
      </c>
      <c r="C71" s="683"/>
      <c r="D71" s="683"/>
      <c r="E71" s="683"/>
      <c r="F71" s="683"/>
      <c r="G71" s="683"/>
      <c r="H71" s="683"/>
      <c r="I71" s="684"/>
    </row>
    <row r="72" spans="1:9" ht="15.75" thickBot="1" x14ac:dyDescent="0.3">
      <c r="A72" s="154"/>
      <c r="B72" s="685" t="s">
        <v>293</v>
      </c>
      <c r="C72" s="686"/>
      <c r="D72" s="686"/>
      <c r="E72" s="686"/>
      <c r="F72" s="686"/>
      <c r="G72" s="686"/>
      <c r="H72" s="686"/>
      <c r="I72" s="687"/>
    </row>
    <row r="73" spans="1:9" x14ac:dyDescent="0.25">
      <c r="A73" s="154"/>
      <c r="B73" s="156"/>
      <c r="C73" s="156"/>
      <c r="D73" s="160"/>
      <c r="E73" s="160"/>
      <c r="F73" s="156"/>
      <c r="G73" s="160"/>
      <c r="H73" s="165"/>
      <c r="I73" s="239" t="s">
        <v>264</v>
      </c>
    </row>
    <row r="74" spans="1:9" x14ac:dyDescent="0.25">
      <c r="A74" s="154"/>
      <c r="B74" s="152" t="s">
        <v>49</v>
      </c>
      <c r="C74" s="152"/>
      <c r="D74" s="152"/>
      <c r="E74" s="152"/>
      <c r="F74" s="152"/>
      <c r="G74" s="152"/>
      <c r="H74" s="153" t="s">
        <v>50</v>
      </c>
      <c r="I74" s="245" t="s">
        <v>424</v>
      </c>
    </row>
    <row r="75" spans="1:9" x14ac:dyDescent="0.25">
      <c r="A75" s="154"/>
      <c r="B75" s="156">
        <v>0.01</v>
      </c>
      <c r="C75" s="156"/>
      <c r="D75" s="156"/>
      <c r="E75" s="156" t="s">
        <v>11</v>
      </c>
      <c r="F75" s="156"/>
      <c r="G75" s="156"/>
      <c r="H75" s="157">
        <v>122900.81</v>
      </c>
      <c r="I75" s="158">
        <v>1857.61</v>
      </c>
    </row>
    <row r="76" spans="1:9" x14ac:dyDescent="0.25">
      <c r="A76" s="154"/>
      <c r="B76" s="156">
        <f>H75+0.01</f>
        <v>122900.81999999999</v>
      </c>
      <c r="C76" s="156"/>
      <c r="D76" s="156"/>
      <c r="E76" s="156" t="s">
        <v>11</v>
      </c>
      <c r="F76" s="156"/>
      <c r="G76" s="156"/>
      <c r="H76" s="157">
        <v>614504.12</v>
      </c>
      <c r="I76" s="158">
        <v>2979.91</v>
      </c>
    </row>
    <row r="77" spans="1:9" x14ac:dyDescent="0.25">
      <c r="A77" s="154"/>
      <c r="B77" s="156">
        <f>H76+0.01</f>
        <v>614504.13</v>
      </c>
      <c r="C77" s="156"/>
      <c r="D77" s="156"/>
      <c r="E77" s="156" t="s">
        <v>11</v>
      </c>
      <c r="F77" s="156"/>
      <c r="G77" s="156"/>
      <c r="H77" s="157">
        <v>983206.61</v>
      </c>
      <c r="I77" s="158">
        <v>4145.91</v>
      </c>
    </row>
    <row r="78" spans="1:9" x14ac:dyDescent="0.25">
      <c r="A78" s="154"/>
      <c r="B78" s="156">
        <f>H77+0.01</f>
        <v>983206.62</v>
      </c>
      <c r="C78" s="156"/>
      <c r="D78" s="156"/>
      <c r="E78" s="156" t="s">
        <v>11</v>
      </c>
      <c r="F78" s="156"/>
      <c r="G78" s="156"/>
      <c r="H78" s="157">
        <v>1229008.25</v>
      </c>
      <c r="I78" s="158">
        <v>4728.8999999999996</v>
      </c>
    </row>
    <row r="79" spans="1:9" x14ac:dyDescent="0.25">
      <c r="A79" s="154"/>
      <c r="B79" s="160" t="s">
        <v>650</v>
      </c>
      <c r="C79" s="156"/>
      <c r="D79" s="156"/>
      <c r="E79" s="156"/>
      <c r="F79" s="156"/>
      <c r="G79" s="156"/>
      <c r="H79" s="157"/>
      <c r="I79" s="140">
        <v>220.93</v>
      </c>
    </row>
    <row r="80" spans="1:9" x14ac:dyDescent="0.25">
      <c r="A80" s="154"/>
      <c r="B80" s="160" t="s">
        <v>294</v>
      </c>
      <c r="C80" s="156"/>
      <c r="D80" s="156"/>
      <c r="E80" s="156"/>
      <c r="F80" s="156"/>
      <c r="G80" s="156"/>
      <c r="H80" s="157"/>
      <c r="I80" s="166">
        <f>4*I67</f>
        <v>323054.40000000002</v>
      </c>
    </row>
    <row r="81" spans="1:9" ht="9" customHeight="1" thickBot="1" x14ac:dyDescent="0.3">
      <c r="A81" s="154"/>
      <c r="B81" s="167"/>
      <c r="C81" s="167"/>
      <c r="D81" s="168"/>
      <c r="E81" s="168"/>
      <c r="F81" s="167"/>
      <c r="G81" s="168"/>
      <c r="H81" s="169"/>
      <c r="I81" s="170"/>
    </row>
    <row r="82" spans="1:9" x14ac:dyDescent="0.25">
      <c r="A82" s="154"/>
      <c r="B82" s="682" t="s">
        <v>295</v>
      </c>
      <c r="C82" s="683"/>
      <c r="D82" s="683"/>
      <c r="E82" s="683"/>
      <c r="F82" s="683"/>
      <c r="G82" s="683"/>
      <c r="H82" s="683"/>
      <c r="I82" s="684"/>
    </row>
    <row r="83" spans="1:9" ht="15.75" thickBot="1" x14ac:dyDescent="0.3">
      <c r="A83" s="154"/>
      <c r="B83" s="685" t="s">
        <v>58</v>
      </c>
      <c r="C83" s="686"/>
      <c r="D83" s="686"/>
      <c r="E83" s="686"/>
      <c r="F83" s="686"/>
      <c r="G83" s="686"/>
      <c r="H83" s="686"/>
      <c r="I83" s="687"/>
    </row>
    <row r="84" spans="1:9" x14ac:dyDescent="0.25">
      <c r="A84" s="154"/>
      <c r="B84" s="156"/>
      <c r="C84" s="156"/>
      <c r="D84" s="160"/>
      <c r="E84" s="160"/>
      <c r="F84" s="156"/>
      <c r="G84" s="160"/>
      <c r="H84" s="165"/>
      <c r="I84" s="239" t="s">
        <v>264</v>
      </c>
    </row>
    <row r="85" spans="1:9" x14ac:dyDescent="0.25">
      <c r="A85" s="154"/>
      <c r="B85" s="152" t="s">
        <v>49</v>
      </c>
      <c r="C85" s="152"/>
      <c r="D85" s="152"/>
      <c r="E85" s="152"/>
      <c r="F85" s="152"/>
      <c r="G85" s="152"/>
      <c r="H85" s="153" t="s">
        <v>50</v>
      </c>
      <c r="I85" s="145"/>
    </row>
    <row r="86" spans="1:9" x14ac:dyDescent="0.25">
      <c r="A86" s="154"/>
      <c r="B86" s="155">
        <v>0.01</v>
      </c>
      <c r="C86" s="156"/>
      <c r="D86" s="156"/>
      <c r="E86" s="156" t="s">
        <v>11</v>
      </c>
      <c r="F86" s="156"/>
      <c r="G86" s="156"/>
      <c r="H86" s="157">
        <v>18435.099999999999</v>
      </c>
      <c r="I86" s="158">
        <v>199.56</v>
      </c>
    </row>
    <row r="87" spans="1:9" x14ac:dyDescent="0.25">
      <c r="A87" s="154"/>
      <c r="B87" s="155">
        <f t="shared" ref="B87:B93" si="2">H86+0.01</f>
        <v>18435.109999999997</v>
      </c>
      <c r="C87" s="156"/>
      <c r="D87" s="156"/>
      <c r="E87" s="156" t="s">
        <v>11</v>
      </c>
      <c r="F87" s="156"/>
      <c r="G87" s="156"/>
      <c r="H87" s="157">
        <v>36870.230000000003</v>
      </c>
      <c r="I87" s="158">
        <v>251.49</v>
      </c>
    </row>
    <row r="88" spans="1:9" x14ac:dyDescent="0.25">
      <c r="A88" s="154"/>
      <c r="B88" s="155">
        <f t="shared" si="2"/>
        <v>36870.240000000005</v>
      </c>
      <c r="C88" s="156"/>
      <c r="D88" s="156"/>
      <c r="E88" s="156" t="s">
        <v>11</v>
      </c>
      <c r="F88" s="156"/>
      <c r="G88" s="156"/>
      <c r="H88" s="157">
        <v>55305.35</v>
      </c>
      <c r="I88" s="158">
        <v>355.16</v>
      </c>
    </row>
    <row r="89" spans="1:9" x14ac:dyDescent="0.25">
      <c r="A89" s="154"/>
      <c r="B89" s="155">
        <f t="shared" si="2"/>
        <v>55305.36</v>
      </c>
      <c r="C89" s="156"/>
      <c r="D89" s="156"/>
      <c r="E89" s="156" t="s">
        <v>11</v>
      </c>
      <c r="F89" s="156"/>
      <c r="G89" s="156"/>
      <c r="H89" s="157">
        <v>73740.490000000005</v>
      </c>
      <c r="I89" s="158">
        <v>407.25</v>
      </c>
    </row>
    <row r="90" spans="1:9" x14ac:dyDescent="0.25">
      <c r="A90" s="154"/>
      <c r="B90" s="155">
        <f t="shared" si="2"/>
        <v>73740.5</v>
      </c>
      <c r="C90" s="156"/>
      <c r="D90" s="156"/>
      <c r="E90" s="156" t="s">
        <v>11</v>
      </c>
      <c r="F90" s="156"/>
      <c r="G90" s="156"/>
      <c r="H90" s="157">
        <v>98320.639999999999</v>
      </c>
      <c r="I90" s="158">
        <v>511.02</v>
      </c>
    </row>
    <row r="91" spans="1:9" x14ac:dyDescent="0.25">
      <c r="A91" s="154"/>
      <c r="B91" s="155">
        <f t="shared" si="2"/>
        <v>98320.65</v>
      </c>
      <c r="C91" s="156"/>
      <c r="D91" s="156"/>
      <c r="E91" s="156" t="s">
        <v>11</v>
      </c>
      <c r="F91" s="156"/>
      <c r="G91" s="156"/>
      <c r="H91" s="157">
        <v>122900.81</v>
      </c>
      <c r="I91" s="158">
        <v>623.09</v>
      </c>
    </row>
    <row r="92" spans="1:9" x14ac:dyDescent="0.25">
      <c r="A92" s="154"/>
      <c r="B92" s="155">
        <f t="shared" si="2"/>
        <v>122900.81999999999</v>
      </c>
      <c r="C92" s="156"/>
      <c r="D92" s="156"/>
      <c r="E92" s="156" t="s">
        <v>11</v>
      </c>
      <c r="F92" s="156"/>
      <c r="G92" s="156"/>
      <c r="H92" s="157">
        <v>245801.64</v>
      </c>
      <c r="I92" s="158">
        <v>734.83</v>
      </c>
    </row>
    <row r="93" spans="1:9" x14ac:dyDescent="0.25">
      <c r="A93" s="154"/>
      <c r="B93" s="155">
        <f t="shared" si="2"/>
        <v>245801.65000000002</v>
      </c>
      <c r="C93" s="156"/>
      <c r="D93" s="156"/>
      <c r="E93" s="156" t="s">
        <v>11</v>
      </c>
      <c r="F93" s="156"/>
      <c r="G93" s="156"/>
      <c r="H93" s="157">
        <v>491603.3</v>
      </c>
      <c r="I93" s="158">
        <v>799.62</v>
      </c>
    </row>
    <row r="94" spans="1:9" x14ac:dyDescent="0.25">
      <c r="A94" s="154"/>
      <c r="B94" s="160" t="s">
        <v>651</v>
      </c>
      <c r="C94" s="156"/>
      <c r="D94" s="156"/>
      <c r="E94" s="156"/>
      <c r="F94" s="156"/>
      <c r="G94" s="156"/>
      <c r="H94" s="157"/>
      <c r="I94" s="140">
        <v>110.43</v>
      </c>
    </row>
    <row r="95" spans="1:9" x14ac:dyDescent="0.25">
      <c r="A95" s="154"/>
      <c r="B95" s="162" t="s">
        <v>296</v>
      </c>
      <c r="C95" s="156"/>
      <c r="D95" s="156"/>
      <c r="E95" s="156"/>
      <c r="F95" s="156"/>
      <c r="G95" s="156"/>
      <c r="H95" s="157"/>
      <c r="I95" s="171">
        <f>50%*I67</f>
        <v>40381.800000000003</v>
      </c>
    </row>
    <row r="96" spans="1:9" ht="15.75" thickBot="1" x14ac:dyDescent="0.3">
      <c r="A96" s="154"/>
      <c r="B96" s="156"/>
      <c r="C96" s="156"/>
      <c r="D96" s="156"/>
      <c r="E96" s="156"/>
      <c r="F96" s="156"/>
      <c r="G96" s="156"/>
      <c r="H96" s="157"/>
      <c r="I96" s="145"/>
    </row>
    <row r="97" spans="1:9" x14ac:dyDescent="0.25">
      <c r="A97" s="154"/>
      <c r="B97" s="682" t="s">
        <v>297</v>
      </c>
      <c r="C97" s="683"/>
      <c r="D97" s="683"/>
      <c r="E97" s="683"/>
      <c r="F97" s="683"/>
      <c r="G97" s="683"/>
      <c r="H97" s="683"/>
      <c r="I97" s="684"/>
    </row>
    <row r="98" spans="1:9" ht="15.75" thickBot="1" x14ac:dyDescent="0.3">
      <c r="A98" s="154"/>
      <c r="B98" s="685" t="s">
        <v>61</v>
      </c>
      <c r="C98" s="686"/>
      <c r="D98" s="686"/>
      <c r="E98" s="686"/>
      <c r="F98" s="686"/>
      <c r="G98" s="686"/>
      <c r="H98" s="686"/>
      <c r="I98" s="687"/>
    </row>
    <row r="99" spans="1:9" ht="13.5" customHeight="1" x14ac:dyDescent="0.25">
      <c r="A99" s="154"/>
      <c r="B99" s="700"/>
      <c r="C99" s="700"/>
      <c r="D99" s="700"/>
      <c r="E99" s="700"/>
      <c r="F99" s="700"/>
      <c r="G99" s="700"/>
      <c r="H99" s="701"/>
      <c r="I99" s="239" t="s">
        <v>264</v>
      </c>
    </row>
    <row r="100" spans="1:9" ht="28.5" customHeight="1" x14ac:dyDescent="0.25">
      <c r="A100" s="154"/>
      <c r="B100" s="700" t="s">
        <v>298</v>
      </c>
      <c r="C100" s="700"/>
      <c r="D100" s="700"/>
      <c r="E100" s="700"/>
      <c r="F100" s="700"/>
      <c r="G100" s="700"/>
      <c r="H100" s="701"/>
      <c r="I100" s="140">
        <v>160.44</v>
      </c>
    </row>
    <row r="101" spans="1:9" x14ac:dyDescent="0.25">
      <c r="A101" s="154"/>
      <c r="B101" s="702" t="s">
        <v>65</v>
      </c>
      <c r="C101" s="702"/>
      <c r="D101" s="702"/>
      <c r="E101" s="702"/>
      <c r="F101" s="702"/>
      <c r="G101" s="702"/>
      <c r="H101" s="708"/>
      <c r="I101" s="140">
        <v>498.2</v>
      </c>
    </row>
    <row r="102" spans="1:9" x14ac:dyDescent="0.25">
      <c r="A102" s="154"/>
      <c r="B102" s="702" t="s">
        <v>66</v>
      </c>
      <c r="C102" s="702"/>
      <c r="D102" s="702"/>
      <c r="E102" s="702"/>
      <c r="F102" s="702"/>
      <c r="G102" s="702"/>
      <c r="H102" s="708"/>
      <c r="I102" s="140">
        <v>32.29</v>
      </c>
    </row>
    <row r="103" spans="1:9" x14ac:dyDescent="0.25">
      <c r="A103" s="154"/>
      <c r="B103" s="702" t="s">
        <v>67</v>
      </c>
      <c r="C103" s="702"/>
      <c r="D103" s="702"/>
      <c r="E103" s="702"/>
      <c r="F103" s="702"/>
      <c r="G103" s="702"/>
      <c r="H103" s="708"/>
      <c r="I103" s="172">
        <v>46.44</v>
      </c>
    </row>
    <row r="104" spans="1:9" x14ac:dyDescent="0.25">
      <c r="A104" s="154"/>
      <c r="B104" s="673" t="s">
        <v>68</v>
      </c>
      <c r="C104" s="673"/>
      <c r="D104" s="673"/>
      <c r="E104" s="673"/>
      <c r="F104" s="673"/>
      <c r="G104" s="673"/>
      <c r="H104" s="674"/>
      <c r="I104" s="245" t="s">
        <v>424</v>
      </c>
    </row>
    <row r="105" spans="1:9" x14ac:dyDescent="0.25">
      <c r="A105" s="154"/>
      <c r="B105" s="702" t="s">
        <v>69</v>
      </c>
      <c r="C105" s="702"/>
      <c r="D105" s="702"/>
      <c r="E105" s="702"/>
      <c r="F105" s="702"/>
      <c r="G105" s="702"/>
      <c r="H105" s="708"/>
      <c r="I105" s="140">
        <v>240.28</v>
      </c>
    </row>
    <row r="106" spans="1:9" x14ac:dyDescent="0.25">
      <c r="A106" s="154"/>
      <c r="B106" s="713" t="s">
        <v>70</v>
      </c>
      <c r="C106" s="713"/>
      <c r="D106" s="713"/>
      <c r="E106" s="713"/>
      <c r="F106" s="713"/>
      <c r="G106" s="713"/>
      <c r="H106" s="721"/>
      <c r="I106" s="140">
        <v>27.28</v>
      </c>
    </row>
    <row r="107" spans="1:9" x14ac:dyDescent="0.25">
      <c r="A107" s="154"/>
      <c r="B107" s="713" t="s">
        <v>71</v>
      </c>
      <c r="C107" s="713"/>
      <c r="D107" s="713"/>
      <c r="E107" s="713"/>
      <c r="F107" s="713"/>
      <c r="G107" s="713"/>
      <c r="H107" s="721"/>
      <c r="I107" s="140">
        <v>24.8</v>
      </c>
    </row>
    <row r="108" spans="1:9" x14ac:dyDescent="0.25">
      <c r="A108" s="154"/>
      <c r="B108" s="722" t="s">
        <v>299</v>
      </c>
      <c r="C108" s="722"/>
      <c r="D108" s="722"/>
      <c r="E108" s="722"/>
      <c r="F108" s="722"/>
      <c r="G108" s="722"/>
      <c r="H108" s="723"/>
      <c r="I108" s="140">
        <v>108.6</v>
      </c>
    </row>
    <row r="109" spans="1:9" x14ac:dyDescent="0.25">
      <c r="A109" s="154"/>
      <c r="B109" s="700" t="s">
        <v>73</v>
      </c>
      <c r="C109" s="700"/>
      <c r="D109" s="700"/>
      <c r="E109" s="700"/>
      <c r="F109" s="700"/>
      <c r="G109" s="700"/>
      <c r="H109" s="701"/>
      <c r="I109" s="245" t="s">
        <v>424</v>
      </c>
    </row>
    <row r="110" spans="1:9" x14ac:dyDescent="0.25">
      <c r="A110" s="154"/>
      <c r="B110" s="702" t="s">
        <v>74</v>
      </c>
      <c r="C110" s="702"/>
      <c r="D110" s="702"/>
      <c r="E110" s="702"/>
      <c r="F110" s="702"/>
      <c r="G110" s="702"/>
      <c r="H110" s="708"/>
      <c r="I110" s="140">
        <v>9.14</v>
      </c>
    </row>
    <row r="111" spans="1:9" x14ac:dyDescent="0.25">
      <c r="A111" s="154"/>
      <c r="B111" s="702" t="s">
        <v>75</v>
      </c>
      <c r="C111" s="702"/>
      <c r="D111" s="702"/>
      <c r="E111" s="702"/>
      <c r="F111" s="702"/>
      <c r="G111" s="702"/>
      <c r="H111" s="708"/>
      <c r="I111" s="140">
        <v>1.88</v>
      </c>
    </row>
    <row r="112" spans="1:9" x14ac:dyDescent="0.25">
      <c r="A112" s="154"/>
      <c r="B112" s="702" t="s">
        <v>76</v>
      </c>
      <c r="C112" s="702"/>
      <c r="D112" s="702"/>
      <c r="E112" s="702"/>
      <c r="F112" s="702"/>
      <c r="G112" s="702"/>
      <c r="H112" s="708"/>
      <c r="I112" s="245" t="s">
        <v>424</v>
      </c>
    </row>
    <row r="113" spans="1:9" ht="62.25" customHeight="1" x14ac:dyDescent="0.25">
      <c r="A113" s="154"/>
      <c r="B113" s="711" t="s">
        <v>300</v>
      </c>
      <c r="C113" s="711"/>
      <c r="D113" s="711"/>
      <c r="E113" s="711"/>
      <c r="F113" s="711"/>
      <c r="G113" s="711"/>
      <c r="H113" s="712"/>
      <c r="I113" s="173" t="s">
        <v>301</v>
      </c>
    </row>
    <row r="114" spans="1:9" x14ac:dyDescent="0.25">
      <c r="A114" s="154"/>
      <c r="B114" s="713" t="s">
        <v>302</v>
      </c>
      <c r="C114" s="713"/>
      <c r="D114" s="713"/>
      <c r="E114" s="713"/>
      <c r="F114" s="713"/>
      <c r="G114" s="713"/>
      <c r="H114" s="721"/>
      <c r="I114" s="245" t="s">
        <v>424</v>
      </c>
    </row>
    <row r="115" spans="1:9" x14ac:dyDescent="0.25">
      <c r="A115" s="154"/>
      <c r="B115" s="713" t="s">
        <v>79</v>
      </c>
      <c r="C115" s="713"/>
      <c r="D115" s="713"/>
      <c r="E115" s="713"/>
      <c r="F115" s="713"/>
      <c r="G115" s="713"/>
      <c r="H115" s="713"/>
      <c r="I115" s="245" t="s">
        <v>424</v>
      </c>
    </row>
    <row r="116" spans="1:9" x14ac:dyDescent="0.25">
      <c r="A116" s="154"/>
      <c r="B116" s="713" t="s">
        <v>80</v>
      </c>
      <c r="C116" s="713"/>
      <c r="D116" s="713"/>
      <c r="E116" s="713"/>
      <c r="F116" s="713"/>
      <c r="G116" s="713"/>
      <c r="H116" s="713"/>
      <c r="I116" s="140">
        <v>502.48</v>
      </c>
    </row>
    <row r="117" spans="1:9" x14ac:dyDescent="0.25">
      <c r="A117" s="154"/>
      <c r="B117" s="681" t="s">
        <v>81</v>
      </c>
      <c r="C117" s="681"/>
      <c r="D117" s="681"/>
      <c r="E117" s="681"/>
      <c r="F117" s="681"/>
      <c r="G117" s="681"/>
      <c r="H117" s="681"/>
      <c r="I117" s="140">
        <v>46.44</v>
      </c>
    </row>
    <row r="118" spans="1:9" x14ac:dyDescent="0.25">
      <c r="A118" s="154"/>
      <c r="B118" s="681" t="s">
        <v>303</v>
      </c>
      <c r="C118" s="681"/>
      <c r="D118" s="681"/>
      <c r="E118" s="681"/>
      <c r="F118" s="681"/>
      <c r="G118" s="681"/>
      <c r="H118" s="681"/>
      <c r="I118" s="140">
        <f>I117</f>
        <v>46.44</v>
      </c>
    </row>
    <row r="119" spans="1:9" x14ac:dyDescent="0.25">
      <c r="A119" s="154"/>
      <c r="B119" s="681" t="s">
        <v>82</v>
      </c>
      <c r="C119" s="681"/>
      <c r="D119" s="681"/>
      <c r="E119" s="681"/>
      <c r="F119" s="681"/>
      <c r="G119" s="681"/>
      <c r="H119" s="681"/>
      <c r="I119" s="140">
        <v>149.4</v>
      </c>
    </row>
    <row r="120" spans="1:9" x14ac:dyDescent="0.25">
      <c r="A120" s="154"/>
      <c r="B120" s="681" t="s">
        <v>83</v>
      </c>
      <c r="C120" s="681"/>
      <c r="D120" s="681"/>
      <c r="E120" s="681"/>
      <c r="F120" s="681"/>
      <c r="G120" s="681"/>
      <c r="H120" s="681"/>
      <c r="I120" s="140">
        <f>I119</f>
        <v>149.4</v>
      </c>
    </row>
    <row r="121" spans="1:9" x14ac:dyDescent="0.25">
      <c r="A121" s="154"/>
      <c r="B121" s="681" t="s">
        <v>84</v>
      </c>
      <c r="C121" s="681"/>
      <c r="D121" s="681"/>
      <c r="E121" s="681"/>
      <c r="F121" s="681"/>
      <c r="G121" s="681"/>
      <c r="H121" s="681"/>
      <c r="I121" s="140">
        <f>I117</f>
        <v>46.44</v>
      </c>
    </row>
    <row r="122" spans="1:9" x14ac:dyDescent="0.25">
      <c r="A122" s="154"/>
      <c r="B122" s="681" t="s">
        <v>304</v>
      </c>
      <c r="C122" s="681"/>
      <c r="D122" s="681"/>
      <c r="E122" s="681"/>
      <c r="F122" s="681"/>
      <c r="G122" s="681"/>
      <c r="H122" s="681"/>
      <c r="I122" s="140">
        <v>4.28</v>
      </c>
    </row>
    <row r="123" spans="1:9" x14ac:dyDescent="0.25">
      <c r="A123" s="154"/>
      <c r="B123" s="681" t="s">
        <v>86</v>
      </c>
      <c r="C123" s="681"/>
      <c r="D123" s="681"/>
      <c r="E123" s="681"/>
      <c r="F123" s="681"/>
      <c r="G123" s="681"/>
      <c r="H123" s="681"/>
      <c r="I123" s="140">
        <v>26.03</v>
      </c>
    </row>
    <row r="124" spans="1:9" x14ac:dyDescent="0.25">
      <c r="A124" s="174"/>
      <c r="B124" s="703" t="s">
        <v>87</v>
      </c>
      <c r="C124" s="703"/>
      <c r="D124" s="703"/>
      <c r="E124" s="703"/>
      <c r="F124" s="703"/>
      <c r="G124" s="703"/>
      <c r="H124" s="703"/>
      <c r="I124" s="175">
        <v>99.54</v>
      </c>
    </row>
    <row r="125" spans="1:9" x14ac:dyDescent="0.25">
      <c r="A125" s="174"/>
      <c r="B125" s="703" t="s">
        <v>305</v>
      </c>
      <c r="C125" s="703"/>
      <c r="D125" s="703"/>
      <c r="E125" s="703"/>
      <c r="F125" s="703"/>
      <c r="G125" s="703"/>
      <c r="H125" s="703"/>
      <c r="I125" s="245" t="s">
        <v>424</v>
      </c>
    </row>
    <row r="126" spans="1:9" x14ac:dyDescent="0.25">
      <c r="A126" s="174"/>
      <c r="B126" s="679" t="s">
        <v>89</v>
      </c>
      <c r="C126" s="679"/>
      <c r="D126" s="679"/>
      <c r="E126" s="679"/>
      <c r="F126" s="679"/>
      <c r="G126" s="679"/>
      <c r="H126" s="679"/>
      <c r="I126" s="175">
        <v>253.71</v>
      </c>
    </row>
    <row r="127" spans="1:9" x14ac:dyDescent="0.25">
      <c r="A127" s="174"/>
      <c r="B127" s="679" t="s">
        <v>306</v>
      </c>
      <c r="C127" s="679"/>
      <c r="D127" s="679"/>
      <c r="E127" s="679"/>
      <c r="F127" s="679"/>
      <c r="G127" s="679"/>
      <c r="H127" s="679"/>
      <c r="I127" s="175">
        <f>I117</f>
        <v>46.44</v>
      </c>
    </row>
    <row r="128" spans="1:9" x14ac:dyDescent="0.25">
      <c r="A128" s="174"/>
      <c r="B128" s="679" t="s">
        <v>307</v>
      </c>
      <c r="C128" s="679"/>
      <c r="D128" s="679"/>
      <c r="E128" s="679"/>
      <c r="F128" s="679"/>
      <c r="G128" s="679"/>
      <c r="H128" s="679"/>
      <c r="I128" s="175">
        <f>I117</f>
        <v>46.44</v>
      </c>
    </row>
    <row r="129" spans="1:9" x14ac:dyDescent="0.25">
      <c r="A129" s="174"/>
      <c r="B129" s="679" t="s">
        <v>308</v>
      </c>
      <c r="C129" s="679"/>
      <c r="D129" s="679"/>
      <c r="E129" s="679"/>
      <c r="F129" s="679"/>
      <c r="G129" s="679"/>
      <c r="H129" s="679"/>
      <c r="I129" s="242" t="s">
        <v>418</v>
      </c>
    </row>
    <row r="130" spans="1:9" x14ac:dyDescent="0.25">
      <c r="A130" s="174"/>
      <c r="B130" s="703" t="s">
        <v>309</v>
      </c>
      <c r="C130" s="703"/>
      <c r="D130" s="703"/>
      <c r="E130" s="703"/>
      <c r="F130" s="703"/>
      <c r="G130" s="703"/>
      <c r="H130" s="703"/>
      <c r="I130" s="245" t="s">
        <v>424</v>
      </c>
    </row>
    <row r="131" spans="1:9" x14ac:dyDescent="0.25">
      <c r="A131" s="174"/>
      <c r="B131" s="679" t="s">
        <v>310</v>
      </c>
      <c r="C131" s="679"/>
      <c r="D131" s="679"/>
      <c r="E131" s="679"/>
      <c r="F131" s="679"/>
      <c r="G131" s="679"/>
      <c r="H131" s="177" t="s">
        <v>311</v>
      </c>
      <c r="I131" s="175">
        <f>I6</f>
        <v>30.22</v>
      </c>
    </row>
    <row r="132" spans="1:9" x14ac:dyDescent="0.25">
      <c r="A132" s="174"/>
      <c r="B132" s="679" t="s">
        <v>312</v>
      </c>
      <c r="C132" s="679"/>
      <c r="D132" s="679"/>
      <c r="E132" s="679"/>
      <c r="F132" s="679"/>
      <c r="G132" s="679"/>
      <c r="H132" s="177" t="s">
        <v>311</v>
      </c>
      <c r="I132" s="175">
        <f>I6</f>
        <v>30.22</v>
      </c>
    </row>
    <row r="133" spans="1:9" x14ac:dyDescent="0.25">
      <c r="A133" s="174"/>
      <c r="B133" s="679" t="s">
        <v>313</v>
      </c>
      <c r="C133" s="679"/>
      <c r="D133" s="679"/>
      <c r="E133" s="679"/>
      <c r="F133" s="679"/>
      <c r="G133" s="679"/>
      <c r="H133" s="177" t="s">
        <v>311</v>
      </c>
      <c r="I133" s="175">
        <f>I6</f>
        <v>30.22</v>
      </c>
    </row>
    <row r="134" spans="1:9" x14ac:dyDescent="0.25">
      <c r="A134" s="174"/>
      <c r="B134" s="679" t="s">
        <v>97</v>
      </c>
      <c r="C134" s="679"/>
      <c r="D134" s="679"/>
      <c r="E134" s="679"/>
      <c r="F134" s="679"/>
      <c r="G134" s="679"/>
      <c r="H134" s="177"/>
      <c r="I134" s="358" t="s">
        <v>314</v>
      </c>
    </row>
    <row r="135" spans="1:9" x14ac:dyDescent="0.25">
      <c r="A135" s="174"/>
      <c r="B135" s="679" t="s">
        <v>98</v>
      </c>
      <c r="C135" s="679"/>
      <c r="D135" s="679"/>
      <c r="E135" s="679"/>
      <c r="F135" s="679"/>
      <c r="G135" s="679"/>
      <c r="H135" s="178"/>
      <c r="I135" s="358" t="s">
        <v>314</v>
      </c>
    </row>
    <row r="136" spans="1:9" ht="15.75" thickBot="1" x14ac:dyDescent="0.3">
      <c r="A136" s="174"/>
      <c r="B136" s="179"/>
      <c r="C136" s="179"/>
      <c r="D136" s="179"/>
      <c r="E136" s="179"/>
      <c r="F136" s="179"/>
      <c r="G136" s="179"/>
      <c r="H136" s="179"/>
      <c r="I136" s="176"/>
    </row>
    <row r="137" spans="1:9" x14ac:dyDescent="0.25">
      <c r="A137" s="180"/>
      <c r="B137" s="682" t="s">
        <v>315</v>
      </c>
      <c r="C137" s="683"/>
      <c r="D137" s="683"/>
      <c r="E137" s="683"/>
      <c r="F137" s="683"/>
      <c r="G137" s="683"/>
      <c r="H137" s="683"/>
      <c r="I137" s="684"/>
    </row>
    <row r="138" spans="1:9" ht="15.75" thickBot="1" x14ac:dyDescent="0.3">
      <c r="A138" s="154"/>
      <c r="B138" s="685" t="s">
        <v>316</v>
      </c>
      <c r="C138" s="686"/>
      <c r="D138" s="686"/>
      <c r="E138" s="686"/>
      <c r="F138" s="686"/>
      <c r="G138" s="686"/>
      <c r="H138" s="686"/>
      <c r="I138" s="687"/>
    </row>
    <row r="139" spans="1:9" x14ac:dyDescent="0.25">
      <c r="A139" s="154"/>
      <c r="B139" s="696" t="s">
        <v>1</v>
      </c>
      <c r="C139" s="696"/>
      <c r="D139" s="696"/>
      <c r="E139" s="696"/>
      <c r="F139" s="696"/>
      <c r="G139" s="696"/>
      <c r="H139" s="720"/>
      <c r="I139" s="241" t="s">
        <v>264</v>
      </c>
    </row>
    <row r="140" spans="1:9" x14ac:dyDescent="0.25">
      <c r="A140" s="154"/>
      <c r="B140" s="702" t="s">
        <v>421</v>
      </c>
      <c r="C140" s="702"/>
      <c r="D140" s="702"/>
      <c r="E140" s="702"/>
      <c r="F140" s="702"/>
      <c r="G140" s="702"/>
      <c r="H140" s="708"/>
      <c r="I140" s="245" t="s">
        <v>424</v>
      </c>
    </row>
    <row r="141" spans="1:9" x14ac:dyDescent="0.25">
      <c r="A141" s="181"/>
      <c r="B141" s="152" t="s">
        <v>49</v>
      </c>
      <c r="C141" s="152"/>
      <c r="D141" s="152"/>
      <c r="E141" s="152"/>
      <c r="F141" s="152"/>
      <c r="G141" s="152"/>
      <c r="H141" s="153" t="s">
        <v>50</v>
      </c>
      <c r="I141" s="245" t="s">
        <v>424</v>
      </c>
    </row>
    <row r="142" spans="1:9" x14ac:dyDescent="0.25">
      <c r="A142" s="154"/>
      <c r="B142" s="182">
        <v>0.01</v>
      </c>
      <c r="C142" s="182"/>
      <c r="D142" s="182"/>
      <c r="E142" s="182" t="s">
        <v>11</v>
      </c>
      <c r="F142" s="182"/>
      <c r="G142" s="182"/>
      <c r="H142" s="146">
        <v>18435.099999999999</v>
      </c>
      <c r="I142" s="158">
        <v>290.48</v>
      </c>
    </row>
    <row r="143" spans="1:9" x14ac:dyDescent="0.25">
      <c r="A143" s="154"/>
      <c r="B143" s="182">
        <f t="shared" ref="B143:B149" si="3">H142+0.01</f>
        <v>18435.109999999997</v>
      </c>
      <c r="C143" s="183"/>
      <c r="D143" s="183"/>
      <c r="E143" s="182" t="s">
        <v>11</v>
      </c>
      <c r="F143" s="183"/>
      <c r="G143" s="183"/>
      <c r="H143" s="184">
        <v>36870.230000000003</v>
      </c>
      <c r="I143" s="158">
        <v>480</v>
      </c>
    </row>
    <row r="144" spans="1:9" x14ac:dyDescent="0.25">
      <c r="A144" s="154"/>
      <c r="B144" s="182">
        <f t="shared" si="3"/>
        <v>36870.240000000005</v>
      </c>
      <c r="C144" s="183"/>
      <c r="D144" s="183"/>
      <c r="E144" s="182" t="s">
        <v>11</v>
      </c>
      <c r="F144" s="183"/>
      <c r="G144" s="183"/>
      <c r="H144" s="184">
        <v>55305.35</v>
      </c>
      <c r="I144" s="158">
        <v>669.56</v>
      </c>
    </row>
    <row r="145" spans="1:10" x14ac:dyDescent="0.25">
      <c r="A145" s="154"/>
      <c r="B145" s="182">
        <f t="shared" si="3"/>
        <v>55305.36</v>
      </c>
      <c r="C145" s="183"/>
      <c r="D145" s="183"/>
      <c r="E145" s="182" t="s">
        <v>11</v>
      </c>
      <c r="F145" s="183"/>
      <c r="G145" s="183"/>
      <c r="H145" s="184">
        <v>73740.490000000005</v>
      </c>
      <c r="I145" s="158">
        <v>821.15</v>
      </c>
    </row>
    <row r="146" spans="1:10" x14ac:dyDescent="0.25">
      <c r="A146" s="154"/>
      <c r="B146" s="182">
        <f t="shared" si="3"/>
        <v>73740.5</v>
      </c>
      <c r="C146" s="183"/>
      <c r="D146" s="183"/>
      <c r="E146" s="182" t="s">
        <v>11</v>
      </c>
      <c r="F146" s="183"/>
      <c r="G146" s="183"/>
      <c r="H146" s="184">
        <v>98320.639999999999</v>
      </c>
      <c r="I146" s="158">
        <v>1455.47</v>
      </c>
    </row>
    <row r="147" spans="1:10" x14ac:dyDescent="0.25">
      <c r="A147" s="154"/>
      <c r="B147" s="182">
        <f t="shared" si="3"/>
        <v>98320.65</v>
      </c>
      <c r="C147" s="183"/>
      <c r="D147" s="183"/>
      <c r="E147" s="182" t="s">
        <v>11</v>
      </c>
      <c r="F147" s="183"/>
      <c r="G147" s="183"/>
      <c r="H147" s="184">
        <v>122900.81</v>
      </c>
      <c r="I147" s="158">
        <v>1718.27</v>
      </c>
    </row>
    <row r="148" spans="1:10" x14ac:dyDescent="0.25">
      <c r="A148" s="154"/>
      <c r="B148" s="182">
        <f t="shared" si="3"/>
        <v>122900.81999999999</v>
      </c>
      <c r="C148" s="183"/>
      <c r="D148" s="183"/>
      <c r="E148" s="182" t="s">
        <v>11</v>
      </c>
      <c r="F148" s="183"/>
      <c r="G148" s="183"/>
      <c r="H148" s="184">
        <v>245801.64</v>
      </c>
      <c r="I148" s="158">
        <v>2324.7199999999998</v>
      </c>
    </row>
    <row r="149" spans="1:10" x14ac:dyDescent="0.25">
      <c r="A149" s="154"/>
      <c r="B149" s="182">
        <f t="shared" si="3"/>
        <v>245801.65000000002</v>
      </c>
      <c r="C149" s="183"/>
      <c r="D149" s="183"/>
      <c r="E149" s="182" t="s">
        <v>11</v>
      </c>
      <c r="F149" s="183"/>
      <c r="G149" s="183"/>
      <c r="H149" s="184">
        <v>491603.3</v>
      </c>
      <c r="I149" s="158">
        <v>2494.48</v>
      </c>
    </row>
    <row r="150" spans="1:10" x14ac:dyDescent="0.25">
      <c r="A150" s="159"/>
      <c r="B150" s="160" t="s">
        <v>652</v>
      </c>
      <c r="C150" s="156"/>
      <c r="D150" s="156"/>
      <c r="E150" s="156"/>
      <c r="F150" s="156"/>
      <c r="G150" s="156"/>
      <c r="H150" s="157"/>
      <c r="I150" s="171">
        <f>I66</f>
        <v>220.93</v>
      </c>
    </row>
    <row r="151" spans="1:10" x14ac:dyDescent="0.25">
      <c r="A151" s="159"/>
      <c r="B151" s="190" t="s">
        <v>419</v>
      </c>
      <c r="C151" s="183"/>
      <c r="D151" s="183"/>
      <c r="E151" s="183"/>
      <c r="F151" s="183"/>
      <c r="G151" s="183"/>
      <c r="H151" s="243">
        <f>I67</f>
        <v>80763.600000000006</v>
      </c>
      <c r="I151" s="189">
        <v>0</v>
      </c>
    </row>
    <row r="152" spans="1:10" x14ac:dyDescent="0.25">
      <c r="A152" s="159"/>
      <c r="B152" s="187"/>
      <c r="C152" s="183"/>
      <c r="D152" s="183"/>
      <c r="E152" s="183"/>
      <c r="F152" s="183"/>
      <c r="G152" s="183"/>
      <c r="H152" s="184"/>
      <c r="I152" s="245" t="s">
        <v>424</v>
      </c>
      <c r="J152" s="491"/>
    </row>
    <row r="153" spans="1:10" x14ac:dyDescent="0.25">
      <c r="A153"/>
      <c r="B153" s="187" t="s">
        <v>434</v>
      </c>
      <c r="C153" s="183"/>
      <c r="D153" s="183"/>
      <c r="E153" s="183"/>
      <c r="F153" s="183"/>
      <c r="G153" s="183"/>
      <c r="H153" s="184"/>
      <c r="I153" s="245" t="s">
        <v>424</v>
      </c>
      <c r="J153" s="491"/>
    </row>
    <row r="154" spans="1:10" x14ac:dyDescent="0.25">
      <c r="A154"/>
      <c r="B154" s="188" t="s">
        <v>638</v>
      </c>
      <c r="C154" s="183"/>
      <c r="D154" s="183"/>
      <c r="E154" s="183"/>
      <c r="F154" s="183"/>
      <c r="G154" s="183"/>
      <c r="H154" s="184"/>
      <c r="I154" s="185">
        <f>I142</f>
        <v>290.48</v>
      </c>
      <c r="J154" s="491"/>
    </row>
    <row r="155" spans="1:10" x14ac:dyDescent="0.25">
      <c r="A155"/>
      <c r="B155" s="188" t="s">
        <v>420</v>
      </c>
      <c r="C155" s="183"/>
      <c r="D155" s="183"/>
      <c r="E155" s="183"/>
      <c r="F155" s="183"/>
      <c r="G155" s="183"/>
      <c r="H155" s="244">
        <v>101700.61</v>
      </c>
      <c r="I155" s="189">
        <v>0</v>
      </c>
      <c r="J155" s="491"/>
    </row>
    <row r="156" spans="1:10" x14ac:dyDescent="0.25">
      <c r="A156" s="159"/>
      <c r="B156" s="160" t="s">
        <v>422</v>
      </c>
      <c r="C156" s="186"/>
      <c r="D156" s="186"/>
      <c r="E156" s="186"/>
      <c r="F156" s="186"/>
      <c r="G156" s="186"/>
      <c r="I156" s="245" t="s">
        <v>424</v>
      </c>
      <c r="J156" s="491"/>
    </row>
    <row r="157" spans="1:10" x14ac:dyDescent="0.25">
      <c r="A157" s="159"/>
      <c r="B157" s="187" t="s">
        <v>423</v>
      </c>
      <c r="C157" s="183"/>
      <c r="D157" s="183"/>
      <c r="E157" s="183"/>
      <c r="F157" s="183"/>
      <c r="G157" s="183"/>
      <c r="H157" s="184"/>
      <c r="I157" s="158">
        <v>2028.53</v>
      </c>
    </row>
    <row r="158" spans="1:10" x14ac:dyDescent="0.25">
      <c r="A158" s="159"/>
      <c r="B158" s="190" t="s">
        <v>317</v>
      </c>
      <c r="C158" s="183"/>
      <c r="D158" s="183"/>
      <c r="E158" s="183"/>
      <c r="F158" s="183"/>
      <c r="G158" s="183"/>
      <c r="H158" s="184"/>
      <c r="I158" s="158">
        <v>139.77000000000001</v>
      </c>
    </row>
    <row r="159" spans="1:10" x14ac:dyDescent="0.25">
      <c r="A159" s="159"/>
      <c r="B159" s="187" t="s">
        <v>113</v>
      </c>
      <c r="C159" s="183"/>
      <c r="D159" s="183"/>
      <c r="E159" s="183"/>
      <c r="F159" s="183"/>
      <c r="G159" s="183"/>
      <c r="H159" s="184"/>
      <c r="I159" s="245" t="s">
        <v>424</v>
      </c>
    </row>
    <row r="160" spans="1:10" x14ac:dyDescent="0.25">
      <c r="A160" s="159"/>
      <c r="B160" s="190" t="s">
        <v>318</v>
      </c>
      <c r="C160" s="183"/>
      <c r="D160" s="183"/>
      <c r="E160" s="183"/>
      <c r="F160" s="183"/>
      <c r="G160" s="183"/>
      <c r="H160" s="184"/>
      <c r="I160" s="140">
        <v>185.01</v>
      </c>
    </row>
    <row r="161" spans="1:9" x14ac:dyDescent="0.25">
      <c r="A161" s="159"/>
      <c r="B161" s="190" t="s">
        <v>428</v>
      </c>
      <c r="C161" s="183"/>
      <c r="D161" s="183"/>
      <c r="E161" s="183"/>
      <c r="F161" s="183"/>
      <c r="G161" s="183"/>
      <c r="H161" s="184"/>
      <c r="I161" s="140">
        <v>396.98</v>
      </c>
    </row>
    <row r="162" spans="1:9" x14ac:dyDescent="0.25">
      <c r="A162" s="159"/>
      <c r="B162" s="190" t="s">
        <v>319</v>
      </c>
      <c r="C162" s="183"/>
      <c r="D162" s="183"/>
      <c r="E162" s="183"/>
      <c r="F162" s="183"/>
      <c r="G162" s="183"/>
      <c r="H162" s="184"/>
      <c r="I162" s="140">
        <f>I160</f>
        <v>185.01</v>
      </c>
    </row>
    <row r="163" spans="1:9" ht="30" customHeight="1" x14ac:dyDescent="0.25">
      <c r="A163" s="159"/>
      <c r="B163" s="715" t="s">
        <v>320</v>
      </c>
      <c r="C163" s="715"/>
      <c r="D163" s="715"/>
      <c r="E163" s="715"/>
      <c r="F163" s="715"/>
      <c r="G163" s="715"/>
      <c r="H163" s="716"/>
      <c r="I163" s="140">
        <v>486.67</v>
      </c>
    </row>
    <row r="164" spans="1:9" x14ac:dyDescent="0.25">
      <c r="A164" s="159"/>
      <c r="B164" s="401" t="s">
        <v>496</v>
      </c>
      <c r="C164" s="191"/>
      <c r="D164" s="191"/>
      <c r="E164" s="191"/>
      <c r="F164" s="191"/>
      <c r="G164" s="183"/>
      <c r="H164" s="184"/>
      <c r="I164" s="245" t="s">
        <v>424</v>
      </c>
    </row>
    <row r="165" spans="1:9" x14ac:dyDescent="0.25">
      <c r="A165" s="159"/>
      <c r="B165" s="717" t="s">
        <v>429</v>
      </c>
      <c r="C165" s="718"/>
      <c r="D165" s="183"/>
      <c r="E165" s="183"/>
      <c r="F165" s="183"/>
      <c r="G165" s="183"/>
      <c r="H165" s="184"/>
      <c r="I165" s="192">
        <v>154.08000000000001</v>
      </c>
    </row>
    <row r="166" spans="1:9" x14ac:dyDescent="0.25">
      <c r="A166" s="159"/>
      <c r="B166" s="187" t="s">
        <v>321</v>
      </c>
      <c r="C166" s="187"/>
      <c r="D166" s="183"/>
      <c r="E166" s="183"/>
      <c r="F166" s="183"/>
      <c r="G166" s="183"/>
      <c r="H166" s="184"/>
      <c r="I166" s="194" t="s">
        <v>425</v>
      </c>
    </row>
    <row r="167" spans="1:9" x14ac:dyDescent="0.25">
      <c r="A167" s="159"/>
      <c r="B167" s="187" t="s">
        <v>117</v>
      </c>
      <c r="C167" s="183"/>
      <c r="D167" s="183"/>
      <c r="E167" s="183"/>
      <c r="F167" s="183"/>
      <c r="G167" s="183"/>
      <c r="H167" s="184"/>
      <c r="I167" s="140">
        <v>1106.0999999999999</v>
      </c>
    </row>
    <row r="168" spans="1:9" x14ac:dyDescent="0.25">
      <c r="A168" s="159"/>
      <c r="B168" s="190" t="s">
        <v>118</v>
      </c>
      <c r="C168" s="183"/>
      <c r="D168" s="183"/>
      <c r="E168" s="183"/>
      <c r="F168" s="183"/>
      <c r="G168" s="183"/>
      <c r="H168" s="184"/>
      <c r="I168" s="140">
        <v>25.15</v>
      </c>
    </row>
    <row r="169" spans="1:9" x14ac:dyDescent="0.25">
      <c r="A169" s="159"/>
      <c r="B169" s="187" t="s">
        <v>119</v>
      </c>
      <c r="C169" s="183"/>
      <c r="D169" s="183"/>
      <c r="E169" s="183"/>
      <c r="F169" s="183"/>
      <c r="G169" s="183"/>
      <c r="H169" s="184"/>
      <c r="I169" s="245" t="s">
        <v>424</v>
      </c>
    </row>
    <row r="170" spans="1:9" x14ac:dyDescent="0.25">
      <c r="A170" s="159"/>
      <c r="B170" s="190" t="s">
        <v>120</v>
      </c>
      <c r="C170" s="183"/>
      <c r="D170" s="183"/>
      <c r="E170" s="183"/>
      <c r="F170" s="183"/>
      <c r="G170" s="183"/>
      <c r="H170" s="184"/>
      <c r="I170" s="140">
        <v>26.39</v>
      </c>
    </row>
    <row r="171" spans="1:9" x14ac:dyDescent="0.25">
      <c r="A171" s="159"/>
      <c r="B171" s="190" t="s">
        <v>121</v>
      </c>
      <c r="C171" s="183"/>
      <c r="D171" s="183"/>
      <c r="E171" s="183"/>
      <c r="F171" s="183"/>
      <c r="G171" s="183"/>
      <c r="H171" s="184"/>
      <c r="I171" s="140">
        <v>373.59</v>
      </c>
    </row>
    <row r="172" spans="1:9" x14ac:dyDescent="0.25">
      <c r="A172" s="159"/>
      <c r="B172" s="719" t="s">
        <v>323</v>
      </c>
      <c r="C172" s="719"/>
      <c r="D172" s="719"/>
      <c r="E172" s="719"/>
      <c r="F172" s="183"/>
      <c r="G172" s="183"/>
      <c r="H172" s="184"/>
      <c r="I172" s="194" t="s">
        <v>425</v>
      </c>
    </row>
    <row r="173" spans="1:9" x14ac:dyDescent="0.25">
      <c r="A173" s="159"/>
      <c r="B173" s="190" t="s">
        <v>123</v>
      </c>
      <c r="C173" s="183"/>
      <c r="D173" s="183"/>
      <c r="E173" s="183"/>
      <c r="F173" s="183"/>
      <c r="G173" s="183"/>
      <c r="H173" s="184"/>
      <c r="I173" s="140">
        <v>154.69</v>
      </c>
    </row>
    <row r="174" spans="1:9" x14ac:dyDescent="0.25">
      <c r="A174" s="159"/>
      <c r="B174" s="190" t="s">
        <v>124</v>
      </c>
      <c r="C174" s="183"/>
      <c r="D174" s="183"/>
      <c r="E174" s="183"/>
      <c r="F174" s="183"/>
      <c r="G174" s="183"/>
      <c r="H174" s="184"/>
      <c r="I174" s="140">
        <v>12.5</v>
      </c>
    </row>
    <row r="175" spans="1:9" x14ac:dyDescent="0.25">
      <c r="A175" s="159"/>
      <c r="B175" s="187" t="s">
        <v>125</v>
      </c>
      <c r="C175" s="183"/>
      <c r="D175" s="183"/>
      <c r="E175" s="183"/>
      <c r="F175" s="183"/>
      <c r="G175" s="183"/>
      <c r="H175" s="184"/>
      <c r="I175" s="245" t="s">
        <v>424</v>
      </c>
    </row>
    <row r="176" spans="1:9" x14ac:dyDescent="0.25">
      <c r="A176" s="159"/>
      <c r="B176" s="190" t="s">
        <v>126</v>
      </c>
      <c r="C176" s="183"/>
      <c r="D176" s="183"/>
      <c r="E176" s="183"/>
      <c r="F176" s="183"/>
      <c r="G176" s="183"/>
      <c r="H176" s="184"/>
      <c r="I176" s="140">
        <v>10.79</v>
      </c>
    </row>
    <row r="177" spans="1:9" x14ac:dyDescent="0.25">
      <c r="A177" s="159"/>
      <c r="B177" s="190" t="s">
        <v>127</v>
      </c>
      <c r="C177" s="183"/>
      <c r="D177" s="183"/>
      <c r="E177" s="183"/>
      <c r="F177" s="183"/>
      <c r="G177" s="183"/>
      <c r="H177" s="184"/>
      <c r="I177" s="140">
        <v>8.32</v>
      </c>
    </row>
    <row r="178" spans="1:9" x14ac:dyDescent="0.25">
      <c r="A178" s="159"/>
      <c r="B178" s="190" t="s">
        <v>128</v>
      </c>
      <c r="C178" s="183"/>
      <c r="D178" s="183"/>
      <c r="E178" s="183"/>
      <c r="F178" s="183"/>
      <c r="G178" s="183"/>
      <c r="H178" s="184"/>
      <c r="I178" s="140">
        <v>30.94</v>
      </c>
    </row>
    <row r="179" spans="1:9" x14ac:dyDescent="0.25">
      <c r="A179" s="159"/>
      <c r="B179" s="187" t="s">
        <v>129</v>
      </c>
      <c r="C179" s="183"/>
      <c r="D179" s="183"/>
      <c r="E179" s="183"/>
      <c r="F179" s="183"/>
      <c r="G179" s="183"/>
      <c r="H179" s="184"/>
      <c r="I179" s="140">
        <v>8.58</v>
      </c>
    </row>
    <row r="180" spans="1:9" x14ac:dyDescent="0.25">
      <c r="A180" s="159"/>
      <c r="B180" s="190" t="s">
        <v>130</v>
      </c>
      <c r="C180" s="183"/>
      <c r="D180" s="183"/>
      <c r="E180" s="183"/>
      <c r="F180" s="183"/>
      <c r="G180" s="183"/>
      <c r="H180" s="184"/>
      <c r="I180" s="245" t="s">
        <v>424</v>
      </c>
    </row>
    <row r="181" spans="1:9" x14ac:dyDescent="0.25">
      <c r="A181" s="159"/>
      <c r="B181" s="187" t="s">
        <v>131</v>
      </c>
      <c r="C181" s="183"/>
      <c r="D181" s="183"/>
      <c r="E181" s="183"/>
      <c r="F181" s="183"/>
      <c r="G181" s="183"/>
      <c r="H181" s="184"/>
      <c r="I181" s="245" t="s">
        <v>424</v>
      </c>
    </row>
    <row r="182" spans="1:9" x14ac:dyDescent="0.25">
      <c r="A182" s="159"/>
      <c r="B182" s="190" t="s">
        <v>132</v>
      </c>
      <c r="C182" s="183"/>
      <c r="D182" s="183"/>
      <c r="E182" s="183"/>
      <c r="F182" s="183"/>
      <c r="G182" s="183"/>
      <c r="H182" s="184"/>
      <c r="I182" s="140">
        <v>414.33</v>
      </c>
    </row>
    <row r="183" spans="1:9" x14ac:dyDescent="0.25">
      <c r="A183" s="159"/>
      <c r="B183" s="190" t="s">
        <v>133</v>
      </c>
      <c r="C183" s="183"/>
      <c r="D183" s="183"/>
      <c r="E183" s="183"/>
      <c r="F183" s="183"/>
      <c r="G183" s="183"/>
      <c r="H183" s="184"/>
      <c r="I183" s="140">
        <v>606.4</v>
      </c>
    </row>
    <row r="184" spans="1:9" x14ac:dyDescent="0.25">
      <c r="A184" s="159"/>
      <c r="B184" s="187" t="s">
        <v>430</v>
      </c>
      <c r="C184" s="183"/>
      <c r="D184" s="183"/>
      <c r="E184" s="183"/>
      <c r="F184" s="183"/>
      <c r="G184" s="183"/>
      <c r="H184" s="193"/>
      <c r="I184" s="194" t="s">
        <v>425</v>
      </c>
    </row>
    <row r="185" spans="1:9" x14ac:dyDescent="0.25">
      <c r="A185" s="159"/>
      <c r="B185" s="190" t="s">
        <v>136</v>
      </c>
      <c r="C185" s="183"/>
      <c r="D185" s="183"/>
      <c r="E185" s="183"/>
      <c r="F185" s="183"/>
      <c r="G185" s="183"/>
      <c r="H185" s="148"/>
      <c r="I185" s="140">
        <v>202.02</v>
      </c>
    </row>
    <row r="186" spans="1:9" x14ac:dyDescent="0.25">
      <c r="A186" s="159"/>
      <c r="B186" s="190" t="s">
        <v>137</v>
      </c>
      <c r="C186" s="183"/>
      <c r="D186" s="183"/>
      <c r="E186" s="183"/>
      <c r="F186" s="183"/>
      <c r="G186" s="183"/>
      <c r="H186" s="148"/>
      <c r="I186" s="140">
        <f>I183</f>
        <v>606.4</v>
      </c>
    </row>
    <row r="187" spans="1:9" x14ac:dyDescent="0.25">
      <c r="A187" s="159"/>
      <c r="B187" s="190" t="s">
        <v>431</v>
      </c>
      <c r="C187" s="183"/>
      <c r="D187" s="183"/>
      <c r="E187" s="183"/>
      <c r="F187" s="183"/>
      <c r="G187" s="183"/>
      <c r="H187" s="148"/>
      <c r="I187" s="140">
        <v>338.33</v>
      </c>
    </row>
    <row r="188" spans="1:9" x14ac:dyDescent="0.25">
      <c r="A188" s="159"/>
      <c r="B188" s="190" t="s">
        <v>324</v>
      </c>
      <c r="C188" s="183"/>
      <c r="D188" s="183"/>
      <c r="E188" s="183"/>
      <c r="F188" s="183"/>
      <c r="G188" s="183"/>
      <c r="H188" s="148"/>
      <c r="I188" s="140">
        <v>169.3</v>
      </c>
    </row>
    <row r="189" spans="1:9" x14ac:dyDescent="0.25">
      <c r="A189" s="159"/>
      <c r="B189" s="190" t="s">
        <v>325</v>
      </c>
      <c r="C189" s="183"/>
      <c r="D189" s="183"/>
      <c r="E189" s="183"/>
      <c r="F189" s="183"/>
      <c r="G189" s="183"/>
      <c r="H189" s="195"/>
      <c r="I189" s="194" t="s">
        <v>425</v>
      </c>
    </row>
    <row r="190" spans="1:9" x14ac:dyDescent="0.25">
      <c r="A190" s="159"/>
      <c r="B190" s="187" t="s">
        <v>326</v>
      </c>
      <c r="C190" s="183"/>
      <c r="D190" s="183"/>
      <c r="E190" s="183"/>
      <c r="F190" s="196"/>
      <c r="G190" s="196"/>
      <c r="H190" s="197"/>
      <c r="I190" s="245" t="s">
        <v>424</v>
      </c>
    </row>
    <row r="191" spans="1:9" x14ac:dyDescent="0.25">
      <c r="A191" s="159"/>
      <c r="B191" s="190" t="s">
        <v>142</v>
      </c>
      <c r="C191" s="183"/>
      <c r="D191" s="183"/>
      <c r="E191" s="183"/>
      <c r="F191" s="183"/>
      <c r="G191" s="183"/>
      <c r="H191" s="148"/>
      <c r="I191" s="140">
        <v>257.33</v>
      </c>
    </row>
    <row r="192" spans="1:9" x14ac:dyDescent="0.25">
      <c r="A192" s="159"/>
      <c r="B192" s="190" t="s">
        <v>90</v>
      </c>
      <c r="C192" s="183"/>
      <c r="D192" s="183"/>
      <c r="E192" s="183"/>
      <c r="F192" s="183"/>
      <c r="G192" s="183"/>
      <c r="H192" s="148"/>
      <c r="I192" s="140">
        <v>47.11</v>
      </c>
    </row>
    <row r="193" spans="1:9" x14ac:dyDescent="0.25">
      <c r="A193" s="159"/>
      <c r="B193" s="190" t="s">
        <v>144</v>
      </c>
      <c r="C193" s="183"/>
      <c r="D193" s="183"/>
      <c r="E193" s="183"/>
      <c r="F193" s="183"/>
      <c r="G193" s="183"/>
      <c r="H193" s="148"/>
      <c r="I193" s="140">
        <f>I192</f>
        <v>47.11</v>
      </c>
    </row>
    <row r="194" spans="1:9" x14ac:dyDescent="0.25">
      <c r="A194" s="159"/>
      <c r="B194" s="190" t="s">
        <v>145</v>
      </c>
      <c r="C194" s="183"/>
      <c r="D194" s="183"/>
      <c r="E194" s="183"/>
      <c r="F194" s="183"/>
      <c r="G194" s="183"/>
      <c r="H194" s="148"/>
      <c r="I194" s="140">
        <v>154.08000000000001</v>
      </c>
    </row>
    <row r="195" spans="1:9" x14ac:dyDescent="0.25">
      <c r="A195" s="159"/>
      <c r="B195" s="187" t="s">
        <v>327</v>
      </c>
      <c r="C195" s="183"/>
      <c r="D195" s="183"/>
      <c r="E195" s="183"/>
      <c r="F195" s="183"/>
      <c r="G195" s="183"/>
      <c r="H195" s="197"/>
      <c r="I195" s="140">
        <v>17</v>
      </c>
    </row>
    <row r="196" spans="1:9" x14ac:dyDescent="0.25">
      <c r="A196" s="159"/>
      <c r="B196" s="190" t="s">
        <v>328</v>
      </c>
      <c r="C196" s="183"/>
      <c r="D196" s="183"/>
      <c r="E196" s="183"/>
      <c r="F196" s="183"/>
      <c r="G196" s="183"/>
      <c r="H196" s="197"/>
      <c r="I196" s="140">
        <v>16.93</v>
      </c>
    </row>
    <row r="197" spans="1:9" x14ac:dyDescent="0.25">
      <c r="A197" s="159"/>
      <c r="B197" s="190" t="s">
        <v>329</v>
      </c>
      <c r="C197" s="183"/>
      <c r="D197" s="183"/>
      <c r="E197" s="183"/>
      <c r="F197" s="183"/>
      <c r="G197" s="183"/>
      <c r="H197" s="197"/>
      <c r="I197" s="140">
        <v>66.349999999999994</v>
      </c>
    </row>
    <row r="198" spans="1:9" x14ac:dyDescent="0.25">
      <c r="A198" s="159"/>
      <c r="B198" s="187" t="s">
        <v>330</v>
      </c>
      <c r="C198" s="183"/>
      <c r="D198" s="183"/>
      <c r="E198" s="183"/>
      <c r="F198" s="183"/>
      <c r="G198" s="183"/>
      <c r="H198" s="197"/>
      <c r="I198" s="245" t="s">
        <v>424</v>
      </c>
    </row>
    <row r="199" spans="1:9" x14ac:dyDescent="0.25">
      <c r="A199" s="159"/>
      <c r="B199" s="190" t="s">
        <v>249</v>
      </c>
      <c r="C199" s="183"/>
      <c r="D199" s="183"/>
      <c r="E199" s="183"/>
      <c r="F199" s="183"/>
      <c r="G199" s="183"/>
      <c r="H199" s="197"/>
      <c r="I199" s="140">
        <v>675.94</v>
      </c>
    </row>
    <row r="200" spans="1:9" x14ac:dyDescent="0.25">
      <c r="A200" s="159"/>
      <c r="B200" s="190" t="s">
        <v>250</v>
      </c>
      <c r="C200" s="183"/>
      <c r="D200" s="183"/>
      <c r="E200" s="183"/>
      <c r="F200" s="183"/>
      <c r="G200" s="183"/>
      <c r="H200" s="197"/>
      <c r="I200" s="140">
        <v>368.69</v>
      </c>
    </row>
    <row r="201" spans="1:9" x14ac:dyDescent="0.25">
      <c r="A201" s="159"/>
      <c r="B201" s="187" t="s">
        <v>148</v>
      </c>
      <c r="C201" s="183"/>
      <c r="D201" s="183"/>
      <c r="E201" s="183"/>
      <c r="F201" s="183"/>
      <c r="G201" s="183"/>
      <c r="H201" s="197"/>
      <c r="I201" s="245" t="s">
        <v>424</v>
      </c>
    </row>
    <row r="202" spans="1:9" x14ac:dyDescent="0.25">
      <c r="A202" s="159"/>
      <c r="B202" s="190" t="s">
        <v>149</v>
      </c>
      <c r="C202" s="183"/>
      <c r="D202" s="183"/>
      <c r="E202" s="183"/>
      <c r="F202" s="183"/>
      <c r="G202" s="183"/>
      <c r="H202" s="197"/>
      <c r="I202" s="140">
        <v>491.59</v>
      </c>
    </row>
    <row r="203" spans="1:9" x14ac:dyDescent="0.25">
      <c r="A203" s="159"/>
      <c r="B203" s="190" t="s">
        <v>331</v>
      </c>
      <c r="C203" s="183"/>
      <c r="D203" s="183"/>
      <c r="E203" s="183"/>
      <c r="F203" s="183"/>
      <c r="G203" s="183"/>
      <c r="H203" s="195"/>
      <c r="I203" s="195" t="s">
        <v>322</v>
      </c>
    </row>
    <row r="204" spans="1:9" x14ac:dyDescent="0.25">
      <c r="A204" s="159"/>
      <c r="B204" s="187" t="s">
        <v>151</v>
      </c>
      <c r="C204" s="183"/>
      <c r="D204" s="183"/>
      <c r="E204" s="183"/>
      <c r="F204" s="183"/>
      <c r="G204" s="183"/>
      <c r="H204" s="195"/>
      <c r="I204" s="140">
        <v>30.22</v>
      </c>
    </row>
    <row r="205" spans="1:9" x14ac:dyDescent="0.25">
      <c r="A205" s="154"/>
      <c r="B205" s="183"/>
      <c r="C205" s="183"/>
      <c r="D205" s="183"/>
      <c r="E205" s="183"/>
      <c r="F205" s="183"/>
      <c r="G205" s="183"/>
      <c r="H205" s="148"/>
      <c r="I205" s="245" t="s">
        <v>424</v>
      </c>
    </row>
    <row r="206" spans="1:9" x14ac:dyDescent="0.25">
      <c r="B206" s="713" t="s">
        <v>433</v>
      </c>
      <c r="C206" s="713"/>
      <c r="D206" s="713"/>
      <c r="E206" s="713"/>
      <c r="F206" s="713"/>
      <c r="G206" s="713"/>
      <c r="H206" s="713"/>
      <c r="I206" s="245" t="s">
        <v>424</v>
      </c>
    </row>
    <row r="207" spans="1:9" x14ac:dyDescent="0.25">
      <c r="A207"/>
      <c r="B207" s="714" t="s">
        <v>432</v>
      </c>
      <c r="C207" s="713"/>
      <c r="D207" s="713"/>
      <c r="E207" s="713"/>
      <c r="F207" s="713"/>
      <c r="G207" s="713"/>
      <c r="H207" s="713"/>
      <c r="I207" s="140">
        <v>307.24</v>
      </c>
    </row>
    <row r="208" spans="1:9" ht="15.75" thickBot="1" x14ac:dyDescent="0.3">
      <c r="A208"/>
      <c r="B208" s="198"/>
      <c r="C208" s="198"/>
      <c r="D208" s="198"/>
      <c r="E208" s="198"/>
      <c r="F208" s="198"/>
      <c r="G208" s="198"/>
      <c r="H208" s="142"/>
      <c r="I208" s="143"/>
    </row>
    <row r="209" spans="1:9" x14ac:dyDescent="0.25">
      <c r="A209"/>
      <c r="B209" s="682" t="s">
        <v>332</v>
      </c>
      <c r="C209" s="683"/>
      <c r="D209" s="683"/>
      <c r="E209" s="683"/>
      <c r="F209" s="683"/>
      <c r="G209" s="683"/>
      <c r="H209" s="683"/>
      <c r="I209" s="684"/>
    </row>
    <row r="210" spans="1:9" ht="15.75" thickBot="1" x14ac:dyDescent="0.3">
      <c r="A210"/>
      <c r="B210" s="685" t="s">
        <v>333</v>
      </c>
      <c r="C210" s="686"/>
      <c r="D210" s="686"/>
      <c r="E210" s="686"/>
      <c r="F210" s="686"/>
      <c r="G210" s="686"/>
      <c r="H210" s="686"/>
      <c r="I210" s="687"/>
    </row>
    <row r="211" spans="1:9" x14ac:dyDescent="0.25">
      <c r="A211"/>
      <c r="B211" s="688" t="s">
        <v>334</v>
      </c>
      <c r="C211" s="688"/>
      <c r="D211" s="688"/>
      <c r="E211" s="688"/>
      <c r="F211" s="688"/>
      <c r="G211" s="688"/>
      <c r="H211" s="689"/>
      <c r="I211" s="235" t="s">
        <v>264</v>
      </c>
    </row>
    <row r="212" spans="1:9" x14ac:dyDescent="0.25">
      <c r="A212"/>
      <c r="B212" s="702" t="s">
        <v>335</v>
      </c>
      <c r="C212" s="702"/>
      <c r="D212" s="702"/>
      <c r="E212" s="702"/>
      <c r="F212" s="702"/>
      <c r="G212" s="702"/>
      <c r="H212" s="708"/>
      <c r="I212" s="245" t="s">
        <v>424</v>
      </c>
    </row>
    <row r="213" spans="1:9" x14ac:dyDescent="0.25">
      <c r="A213"/>
      <c r="B213" s="164" t="s">
        <v>336</v>
      </c>
      <c r="C213" s="142" t="s">
        <v>337</v>
      </c>
      <c r="D213" s="142"/>
      <c r="E213" s="147"/>
      <c r="F213" s="142" t="s">
        <v>530</v>
      </c>
      <c r="G213" s="147"/>
      <c r="H213" s="199"/>
      <c r="I213" s="245" t="s">
        <v>424</v>
      </c>
    </row>
    <row r="214" spans="1:9" x14ac:dyDescent="0.25">
      <c r="A214"/>
      <c r="B214" s="142" t="s">
        <v>166</v>
      </c>
      <c r="C214" s="142">
        <v>0.01</v>
      </c>
      <c r="D214" s="142" t="s">
        <v>11</v>
      </c>
      <c r="E214" s="147"/>
      <c r="F214" s="182">
        <v>286.33</v>
      </c>
      <c r="G214" s="147"/>
      <c r="H214" s="199"/>
      <c r="I214" s="200">
        <v>28.09</v>
      </c>
    </row>
    <row r="215" spans="1:9" x14ac:dyDescent="0.25">
      <c r="A215"/>
      <c r="B215" s="142" t="s">
        <v>12</v>
      </c>
      <c r="C215" s="182">
        <f>F214+0.01</f>
        <v>286.33999999999997</v>
      </c>
      <c r="D215" s="142" t="s">
        <v>11</v>
      </c>
      <c r="E215" s="147"/>
      <c r="F215" s="182">
        <v>357.95</v>
      </c>
      <c r="G215" s="147"/>
      <c r="H215" s="199"/>
      <c r="I215" s="200">
        <v>35.08</v>
      </c>
    </row>
    <row r="216" spans="1:9" x14ac:dyDescent="0.25">
      <c r="A216"/>
      <c r="B216" s="142" t="s">
        <v>13</v>
      </c>
      <c r="C216" s="182">
        <f t="shared" ref="C216:C231" si="4">F215+0.01</f>
        <v>357.96</v>
      </c>
      <c r="D216" s="142" t="s">
        <v>11</v>
      </c>
      <c r="E216" s="147"/>
      <c r="F216" s="182">
        <v>447.45</v>
      </c>
      <c r="G216" s="147"/>
      <c r="H216" s="199"/>
      <c r="I216" s="200">
        <v>43.86</v>
      </c>
    </row>
    <row r="217" spans="1:9" x14ac:dyDescent="0.25">
      <c r="A217"/>
      <c r="B217" s="142" t="s">
        <v>14</v>
      </c>
      <c r="C217" s="182">
        <f t="shared" si="4"/>
        <v>447.46</v>
      </c>
      <c r="D217" s="142" t="s">
        <v>11</v>
      </c>
      <c r="E217" s="147"/>
      <c r="F217" s="182">
        <v>559.34</v>
      </c>
      <c r="G217" s="147"/>
      <c r="H217" s="199"/>
      <c r="I217" s="200">
        <v>54.82</v>
      </c>
    </row>
    <row r="218" spans="1:9" x14ac:dyDescent="0.25">
      <c r="A218"/>
      <c r="B218" s="142" t="s">
        <v>15</v>
      </c>
      <c r="C218" s="182">
        <f t="shared" si="4"/>
        <v>559.35</v>
      </c>
      <c r="D218" s="142" t="s">
        <v>11</v>
      </c>
      <c r="E218" s="147"/>
      <c r="F218" s="182">
        <v>669.19</v>
      </c>
      <c r="G218" s="147"/>
      <c r="H218" s="199"/>
      <c r="I218" s="200">
        <v>68.540000000000006</v>
      </c>
    </row>
    <row r="219" spans="1:9" x14ac:dyDescent="0.25">
      <c r="A219"/>
      <c r="B219" s="142" t="s">
        <v>16</v>
      </c>
      <c r="C219" s="182">
        <f t="shared" si="4"/>
        <v>669.2</v>
      </c>
      <c r="D219" s="142" t="s">
        <v>11</v>
      </c>
      <c r="E219" s="147"/>
      <c r="F219" s="182">
        <v>874</v>
      </c>
      <c r="G219" s="147"/>
      <c r="H219" s="199"/>
      <c r="I219" s="200">
        <v>85.67</v>
      </c>
    </row>
    <row r="220" spans="1:9" x14ac:dyDescent="0.25">
      <c r="A220"/>
      <c r="B220" s="142" t="s">
        <v>17</v>
      </c>
      <c r="C220" s="182">
        <f t="shared" si="4"/>
        <v>874.01</v>
      </c>
      <c r="D220" s="142" t="s">
        <v>11</v>
      </c>
      <c r="E220" s="147"/>
      <c r="F220" s="182">
        <v>1092.54</v>
      </c>
      <c r="G220" s="147"/>
      <c r="H220" s="199"/>
      <c r="I220" s="200">
        <v>107.1</v>
      </c>
    </row>
    <row r="221" spans="1:9" x14ac:dyDescent="0.25">
      <c r="A221"/>
      <c r="B221" s="142" t="s">
        <v>167</v>
      </c>
      <c r="C221" s="182">
        <f t="shared" si="4"/>
        <v>1092.55</v>
      </c>
      <c r="D221" s="142" t="s">
        <v>11</v>
      </c>
      <c r="E221" s="147"/>
      <c r="F221" s="182">
        <v>1365.69</v>
      </c>
      <c r="G221" s="147"/>
      <c r="H221" s="199"/>
      <c r="I221" s="200">
        <v>133.87</v>
      </c>
    </row>
    <row r="222" spans="1:9" x14ac:dyDescent="0.25">
      <c r="A222"/>
      <c r="B222" s="142" t="s">
        <v>168</v>
      </c>
      <c r="C222" s="182">
        <f t="shared" si="4"/>
        <v>1365.7</v>
      </c>
      <c r="D222" s="142" t="s">
        <v>11</v>
      </c>
      <c r="E222" s="147"/>
      <c r="F222" s="182">
        <v>1707.13</v>
      </c>
      <c r="G222" s="147"/>
      <c r="H222" s="199"/>
      <c r="I222" s="200">
        <v>167.35</v>
      </c>
    </row>
    <row r="223" spans="1:9" x14ac:dyDescent="0.25">
      <c r="A223"/>
      <c r="B223" s="142" t="s">
        <v>169</v>
      </c>
      <c r="C223" s="182">
        <f t="shared" si="4"/>
        <v>1707.14</v>
      </c>
      <c r="D223" s="142" t="s">
        <v>11</v>
      </c>
      <c r="E223" s="147"/>
      <c r="F223" s="182">
        <v>2133.9299999999998</v>
      </c>
      <c r="G223" s="147"/>
      <c r="H223" s="199"/>
      <c r="I223" s="200">
        <v>209.2</v>
      </c>
    </row>
    <row r="224" spans="1:9" x14ac:dyDescent="0.25">
      <c r="A224"/>
      <c r="B224" s="142" t="s">
        <v>170</v>
      </c>
      <c r="C224" s="182">
        <f t="shared" si="4"/>
        <v>2133.94</v>
      </c>
      <c r="D224" s="142" t="s">
        <v>11</v>
      </c>
      <c r="E224" s="147"/>
      <c r="F224" s="182">
        <v>2667.42</v>
      </c>
      <c r="G224" s="147"/>
      <c r="H224" s="199"/>
      <c r="I224" s="200">
        <v>261.49</v>
      </c>
    </row>
    <row r="225" spans="1:9" x14ac:dyDescent="0.25">
      <c r="A225"/>
      <c r="B225" s="142" t="s">
        <v>171</v>
      </c>
      <c r="C225" s="182">
        <f t="shared" si="4"/>
        <v>2667.4300000000003</v>
      </c>
      <c r="D225" s="142" t="s">
        <v>11</v>
      </c>
      <c r="E225" s="147"/>
      <c r="F225" s="182">
        <v>3334.29</v>
      </c>
      <c r="G225" s="147"/>
      <c r="H225" s="199"/>
      <c r="I225" s="200">
        <v>326.87</v>
      </c>
    </row>
    <row r="226" spans="1:9" x14ac:dyDescent="0.25">
      <c r="A226"/>
      <c r="B226" s="142" t="s">
        <v>172</v>
      </c>
      <c r="C226" s="182">
        <f t="shared" si="4"/>
        <v>3334.3</v>
      </c>
      <c r="D226" s="142" t="s">
        <v>11</v>
      </c>
      <c r="E226" s="147"/>
      <c r="F226" s="182">
        <v>4167.88</v>
      </c>
      <c r="G226" s="147"/>
      <c r="H226" s="199"/>
      <c r="I226" s="200">
        <v>408.6</v>
      </c>
    </row>
    <row r="227" spans="1:9" x14ac:dyDescent="0.25">
      <c r="A227"/>
      <c r="B227" s="142" t="s">
        <v>173</v>
      </c>
      <c r="C227" s="182">
        <f t="shared" si="4"/>
        <v>4167.8900000000003</v>
      </c>
      <c r="D227" s="142" t="s">
        <v>11</v>
      </c>
      <c r="E227" s="147"/>
      <c r="F227" s="182">
        <v>5209.87</v>
      </c>
      <c r="G227" s="147"/>
      <c r="H227" s="199"/>
      <c r="I227" s="254">
        <v>510.77</v>
      </c>
    </row>
    <row r="228" spans="1:9" x14ac:dyDescent="0.25">
      <c r="A228"/>
      <c r="B228" s="142" t="s">
        <v>174</v>
      </c>
      <c r="C228" s="182">
        <f t="shared" si="4"/>
        <v>5209.88</v>
      </c>
      <c r="D228" s="142" t="s">
        <v>11</v>
      </c>
      <c r="E228" s="147"/>
      <c r="F228" s="182">
        <v>6512.36</v>
      </c>
      <c r="G228" s="147"/>
      <c r="H228" s="199"/>
      <c r="I228" s="254">
        <v>638.46</v>
      </c>
    </row>
    <row r="229" spans="1:9" x14ac:dyDescent="0.25">
      <c r="A229"/>
      <c r="B229" s="142" t="s">
        <v>175</v>
      </c>
      <c r="C229" s="182">
        <f t="shared" si="4"/>
        <v>6512.37</v>
      </c>
      <c r="D229" s="142" t="s">
        <v>11</v>
      </c>
      <c r="E229" s="147"/>
      <c r="F229" s="182">
        <v>8140.47</v>
      </c>
      <c r="G229" s="147"/>
      <c r="H229" s="199"/>
      <c r="I229" s="254">
        <v>798.08</v>
      </c>
    </row>
    <row r="230" spans="1:9" x14ac:dyDescent="0.25">
      <c r="A230"/>
      <c r="B230" s="142" t="s">
        <v>176</v>
      </c>
      <c r="C230" s="182">
        <f t="shared" si="4"/>
        <v>8140.4800000000005</v>
      </c>
      <c r="D230" s="142" t="s">
        <v>11</v>
      </c>
      <c r="E230" s="147"/>
      <c r="F230" s="182">
        <v>16802.990000000002</v>
      </c>
      <c r="G230" s="147"/>
      <c r="H230" s="199"/>
      <c r="I230" s="254">
        <v>941.01</v>
      </c>
    </row>
    <row r="231" spans="1:9" x14ac:dyDescent="0.25">
      <c r="A231"/>
      <c r="B231" s="142" t="s">
        <v>177</v>
      </c>
      <c r="C231" s="182">
        <f t="shared" si="4"/>
        <v>16803</v>
      </c>
      <c r="D231" s="142" t="s">
        <v>11</v>
      </c>
      <c r="E231" s="147"/>
      <c r="F231" s="182">
        <v>28601.46</v>
      </c>
      <c r="G231" s="147"/>
      <c r="H231" s="199"/>
      <c r="I231" s="254">
        <v>1021.06</v>
      </c>
    </row>
    <row r="232" spans="1:9" x14ac:dyDescent="0.25">
      <c r="A232"/>
      <c r="B232" s="142" t="s">
        <v>178</v>
      </c>
      <c r="C232" s="182" t="s">
        <v>253</v>
      </c>
      <c r="D232" s="182">
        <f>F231+0.01</f>
        <v>28601.469999999998</v>
      </c>
      <c r="E232" s="147"/>
      <c r="G232" s="147"/>
      <c r="H232" s="199"/>
      <c r="I232" s="254">
        <v>1529.71</v>
      </c>
    </row>
    <row r="233" spans="1:9" x14ac:dyDescent="0.25">
      <c r="A233"/>
      <c r="B233" s="673" t="s">
        <v>339</v>
      </c>
      <c r="C233" s="673"/>
      <c r="D233" s="673"/>
      <c r="E233" s="673"/>
      <c r="F233" s="673"/>
      <c r="G233" s="673"/>
      <c r="H233" s="674"/>
      <c r="I233" s="259" t="s">
        <v>340</v>
      </c>
    </row>
    <row r="234" spans="1:9" x14ac:dyDescent="0.25">
      <c r="A234"/>
      <c r="B234" s="164" t="s">
        <v>336</v>
      </c>
      <c r="C234" s="142" t="s">
        <v>337</v>
      </c>
      <c r="D234" s="142"/>
      <c r="E234" s="147"/>
      <c r="F234" s="142" t="s">
        <v>530</v>
      </c>
      <c r="G234" s="147"/>
      <c r="H234" s="199"/>
      <c r="I234" s="245" t="s">
        <v>424</v>
      </c>
    </row>
    <row r="235" spans="1:9" x14ac:dyDescent="0.25">
      <c r="A235"/>
      <c r="B235" s="142" t="s">
        <v>166</v>
      </c>
      <c r="C235" s="142">
        <v>0.01</v>
      </c>
      <c r="D235" s="142" t="s">
        <v>11</v>
      </c>
      <c r="E235" s="147"/>
      <c r="F235" s="182">
        <v>286.33</v>
      </c>
      <c r="G235" s="147"/>
      <c r="H235" s="199"/>
      <c r="I235" s="200">
        <f>TRUNC(I214/2,2)</f>
        <v>14.04</v>
      </c>
    </row>
    <row r="236" spans="1:9" x14ac:dyDescent="0.25">
      <c r="A236"/>
      <c r="B236" s="142" t="s">
        <v>12</v>
      </c>
      <c r="C236" s="182">
        <f>F235+0.01</f>
        <v>286.33999999999997</v>
      </c>
      <c r="D236" s="142" t="s">
        <v>11</v>
      </c>
      <c r="E236" s="147"/>
      <c r="F236" s="182">
        <v>357.95</v>
      </c>
      <c r="G236" s="147"/>
      <c r="H236" s="199"/>
      <c r="I236" s="200">
        <f t="shared" ref="I236:I253" si="5">TRUNC(I215/2,2)</f>
        <v>17.54</v>
      </c>
    </row>
    <row r="237" spans="1:9" x14ac:dyDescent="0.25">
      <c r="A237"/>
      <c r="B237" s="142" t="s">
        <v>13</v>
      </c>
      <c r="C237" s="182">
        <f t="shared" ref="C237:C252" si="6">F236+0.01</f>
        <v>357.96</v>
      </c>
      <c r="D237" s="142" t="s">
        <v>11</v>
      </c>
      <c r="E237" s="147"/>
      <c r="F237" s="182">
        <v>447.45</v>
      </c>
      <c r="G237" s="147"/>
      <c r="H237" s="199"/>
      <c r="I237" s="200">
        <f t="shared" si="5"/>
        <v>21.93</v>
      </c>
    </row>
    <row r="238" spans="1:9" x14ac:dyDescent="0.25">
      <c r="A238"/>
      <c r="B238" s="142" t="s">
        <v>14</v>
      </c>
      <c r="C238" s="182">
        <f t="shared" si="6"/>
        <v>447.46</v>
      </c>
      <c r="D238" s="142" t="s">
        <v>11</v>
      </c>
      <c r="E238" s="147"/>
      <c r="F238" s="182">
        <v>559.34</v>
      </c>
      <c r="G238" s="147"/>
      <c r="H238" s="199"/>
      <c r="I238" s="200">
        <f t="shared" si="5"/>
        <v>27.41</v>
      </c>
    </row>
    <row r="239" spans="1:9" x14ac:dyDescent="0.25">
      <c r="A239"/>
      <c r="B239" s="142" t="s">
        <v>15</v>
      </c>
      <c r="C239" s="182">
        <f t="shared" si="6"/>
        <v>559.35</v>
      </c>
      <c r="D239" s="142" t="s">
        <v>11</v>
      </c>
      <c r="E239" s="147"/>
      <c r="F239" s="182">
        <v>669.19</v>
      </c>
      <c r="G239" s="147"/>
      <c r="H239" s="199"/>
      <c r="I239" s="200">
        <f t="shared" si="5"/>
        <v>34.270000000000003</v>
      </c>
    </row>
    <row r="240" spans="1:9" x14ac:dyDescent="0.25">
      <c r="A240"/>
      <c r="B240" s="142" t="s">
        <v>16</v>
      </c>
      <c r="C240" s="182">
        <f t="shared" si="6"/>
        <v>669.2</v>
      </c>
      <c r="D240" s="142" t="s">
        <v>11</v>
      </c>
      <c r="E240" s="147"/>
      <c r="F240" s="182">
        <v>874</v>
      </c>
      <c r="G240" s="147"/>
      <c r="H240" s="199"/>
      <c r="I240" s="200">
        <f t="shared" si="5"/>
        <v>42.83</v>
      </c>
    </row>
    <row r="241" spans="1:9" x14ac:dyDescent="0.25">
      <c r="A241"/>
      <c r="B241" s="142" t="s">
        <v>17</v>
      </c>
      <c r="C241" s="182">
        <f t="shared" si="6"/>
        <v>874.01</v>
      </c>
      <c r="D241" s="142" t="s">
        <v>11</v>
      </c>
      <c r="E241" s="147"/>
      <c r="F241" s="182">
        <v>1092.54</v>
      </c>
      <c r="G241" s="147"/>
      <c r="H241" s="199"/>
      <c r="I241" s="200">
        <f t="shared" si="5"/>
        <v>53.55</v>
      </c>
    </row>
    <row r="242" spans="1:9" x14ac:dyDescent="0.25">
      <c r="A242"/>
      <c r="B242" s="142" t="s">
        <v>167</v>
      </c>
      <c r="C242" s="182">
        <f t="shared" si="6"/>
        <v>1092.55</v>
      </c>
      <c r="D242" s="142" t="s">
        <v>11</v>
      </c>
      <c r="E242" s="147"/>
      <c r="F242" s="182">
        <v>1365.69</v>
      </c>
      <c r="G242" s="147"/>
      <c r="H242" s="199"/>
      <c r="I242" s="200">
        <f t="shared" si="5"/>
        <v>66.930000000000007</v>
      </c>
    </row>
    <row r="243" spans="1:9" x14ac:dyDescent="0.25">
      <c r="A243"/>
      <c r="B243" s="142" t="s">
        <v>168</v>
      </c>
      <c r="C243" s="182">
        <f t="shared" si="6"/>
        <v>1365.7</v>
      </c>
      <c r="D243" s="142" t="s">
        <v>11</v>
      </c>
      <c r="E243" s="147"/>
      <c r="F243" s="182">
        <v>1707.13</v>
      </c>
      <c r="G243" s="147"/>
      <c r="H243" s="199"/>
      <c r="I243" s="200">
        <f t="shared" si="5"/>
        <v>83.67</v>
      </c>
    </row>
    <row r="244" spans="1:9" x14ac:dyDescent="0.25">
      <c r="A244"/>
      <c r="B244" s="142" t="s">
        <v>169</v>
      </c>
      <c r="C244" s="182">
        <f t="shared" si="6"/>
        <v>1707.14</v>
      </c>
      <c r="D244" s="142" t="s">
        <v>11</v>
      </c>
      <c r="E244" s="147"/>
      <c r="F244" s="182">
        <v>2133.9299999999998</v>
      </c>
      <c r="G244" s="147"/>
      <c r="H244" s="199"/>
      <c r="I244" s="200">
        <f t="shared" si="5"/>
        <v>104.6</v>
      </c>
    </row>
    <row r="245" spans="1:9" x14ac:dyDescent="0.25">
      <c r="A245"/>
      <c r="B245" s="142" t="s">
        <v>170</v>
      </c>
      <c r="C245" s="182">
        <f t="shared" si="6"/>
        <v>2133.94</v>
      </c>
      <c r="D245" s="142" t="s">
        <v>11</v>
      </c>
      <c r="E245" s="147"/>
      <c r="F245" s="182">
        <v>2667.42</v>
      </c>
      <c r="G245" s="147"/>
      <c r="H245" s="199"/>
      <c r="I245" s="200">
        <f t="shared" si="5"/>
        <v>130.74</v>
      </c>
    </row>
    <row r="246" spans="1:9" x14ac:dyDescent="0.25">
      <c r="A246"/>
      <c r="B246" s="142" t="s">
        <v>171</v>
      </c>
      <c r="C246" s="182">
        <f t="shared" si="6"/>
        <v>2667.4300000000003</v>
      </c>
      <c r="D246" s="142" t="s">
        <v>11</v>
      </c>
      <c r="E246" s="147"/>
      <c r="F246" s="182">
        <v>3334.29</v>
      </c>
      <c r="G246" s="147"/>
      <c r="H246" s="199"/>
      <c r="I246" s="200">
        <f t="shared" si="5"/>
        <v>163.43</v>
      </c>
    </row>
    <row r="247" spans="1:9" x14ac:dyDescent="0.25">
      <c r="A247"/>
      <c r="B247" s="142" t="s">
        <v>172</v>
      </c>
      <c r="C247" s="182">
        <f t="shared" si="6"/>
        <v>3334.3</v>
      </c>
      <c r="D247" s="142" t="s">
        <v>11</v>
      </c>
      <c r="E247" s="147"/>
      <c r="F247" s="182">
        <v>4167.88</v>
      </c>
      <c r="G247" s="147"/>
      <c r="H247" s="199"/>
      <c r="I247" s="200">
        <f t="shared" si="5"/>
        <v>204.3</v>
      </c>
    </row>
    <row r="248" spans="1:9" x14ac:dyDescent="0.25">
      <c r="A248"/>
      <c r="B248" s="142" t="s">
        <v>173</v>
      </c>
      <c r="C248" s="182">
        <f t="shared" si="6"/>
        <v>4167.8900000000003</v>
      </c>
      <c r="D248" s="142" t="s">
        <v>11</v>
      </c>
      <c r="E248" s="147"/>
      <c r="F248" s="182">
        <v>5209.87</v>
      </c>
      <c r="G248" s="147"/>
      <c r="H248" s="199"/>
      <c r="I248" s="200">
        <f t="shared" si="5"/>
        <v>255.38</v>
      </c>
    </row>
    <row r="249" spans="1:9" x14ac:dyDescent="0.25">
      <c r="A249"/>
      <c r="B249" s="142" t="s">
        <v>174</v>
      </c>
      <c r="C249" s="182">
        <f t="shared" si="6"/>
        <v>5209.88</v>
      </c>
      <c r="D249" s="142" t="s">
        <v>11</v>
      </c>
      <c r="E249" s="147"/>
      <c r="F249" s="182">
        <v>6512.36</v>
      </c>
      <c r="G249" s="147"/>
      <c r="H249" s="199"/>
      <c r="I249" s="200">
        <f t="shared" si="5"/>
        <v>319.23</v>
      </c>
    </row>
    <row r="250" spans="1:9" x14ac:dyDescent="0.25">
      <c r="A250"/>
      <c r="B250" s="142" t="s">
        <v>175</v>
      </c>
      <c r="C250" s="182">
        <f t="shared" si="6"/>
        <v>6512.37</v>
      </c>
      <c r="D250" s="142" t="s">
        <v>11</v>
      </c>
      <c r="E250" s="147"/>
      <c r="F250" s="182">
        <v>8140.47</v>
      </c>
      <c r="G250" s="147"/>
      <c r="H250" s="199"/>
      <c r="I250" s="200">
        <f t="shared" si="5"/>
        <v>399.04</v>
      </c>
    </row>
    <row r="251" spans="1:9" x14ac:dyDescent="0.25">
      <c r="A251"/>
      <c r="B251" s="142" t="s">
        <v>176</v>
      </c>
      <c r="C251" s="182">
        <f t="shared" si="6"/>
        <v>8140.4800000000005</v>
      </c>
      <c r="D251" s="142" t="s">
        <v>11</v>
      </c>
      <c r="E251" s="147"/>
      <c r="F251" s="182">
        <v>16802.990000000002</v>
      </c>
      <c r="G251" s="147"/>
      <c r="H251" s="199"/>
      <c r="I251" s="200">
        <f t="shared" si="5"/>
        <v>470.5</v>
      </c>
    </row>
    <row r="252" spans="1:9" x14ac:dyDescent="0.25">
      <c r="A252"/>
      <c r="B252" s="142" t="s">
        <v>177</v>
      </c>
      <c r="C252" s="182">
        <f t="shared" si="6"/>
        <v>16803</v>
      </c>
      <c r="D252" s="142" t="s">
        <v>11</v>
      </c>
      <c r="E252" s="147"/>
      <c r="F252" s="182">
        <v>28601.46</v>
      </c>
      <c r="G252" s="147"/>
      <c r="H252" s="199"/>
      <c r="I252" s="200">
        <f t="shared" si="5"/>
        <v>510.53</v>
      </c>
    </row>
    <row r="253" spans="1:9" x14ac:dyDescent="0.25">
      <c r="A253"/>
      <c r="B253" s="142" t="s">
        <v>178</v>
      </c>
      <c r="C253" s="182" t="s">
        <v>253</v>
      </c>
      <c r="D253" s="182">
        <f>F252+0.01</f>
        <v>28601.469999999998</v>
      </c>
      <c r="E253" s="147"/>
      <c r="G253" s="147"/>
      <c r="H253" s="199"/>
      <c r="I253" s="200">
        <f t="shared" si="5"/>
        <v>764.85</v>
      </c>
    </row>
    <row r="254" spans="1:9" ht="7.5" customHeight="1" x14ac:dyDescent="0.25">
      <c r="A254"/>
      <c r="B254" s="147"/>
      <c r="C254" s="147"/>
      <c r="D254" s="147"/>
      <c r="E254" s="147"/>
      <c r="F254" s="147"/>
      <c r="G254" s="147"/>
      <c r="H254" s="199"/>
      <c r="I254" s="202"/>
    </row>
    <row r="255" spans="1:9" x14ac:dyDescent="0.25">
      <c r="A255"/>
      <c r="B255" s="702" t="s">
        <v>341</v>
      </c>
      <c r="C255" s="702"/>
      <c r="D255" s="702"/>
      <c r="E255" s="702"/>
      <c r="F255" s="702"/>
      <c r="G255" s="702"/>
      <c r="H255" s="708"/>
      <c r="I255" s="200"/>
    </row>
    <row r="256" spans="1:9" x14ac:dyDescent="0.25">
      <c r="A256"/>
      <c r="B256" s="702" t="s">
        <v>342</v>
      </c>
      <c r="C256" s="702"/>
      <c r="D256" s="702"/>
      <c r="E256" s="702"/>
      <c r="F256" s="702"/>
      <c r="G256" s="702"/>
      <c r="H256" s="708"/>
      <c r="I256" s="200">
        <v>15.34</v>
      </c>
    </row>
    <row r="257" spans="1:9" x14ac:dyDescent="0.25">
      <c r="A257"/>
      <c r="B257" s="702" t="s">
        <v>343</v>
      </c>
      <c r="C257" s="702"/>
      <c r="D257" s="702"/>
      <c r="E257" s="702"/>
      <c r="F257" s="702"/>
      <c r="G257" s="702"/>
      <c r="H257" s="708"/>
      <c r="I257" s="200">
        <v>7.23</v>
      </c>
    </row>
    <row r="258" spans="1:9" ht="45.75" customHeight="1" x14ac:dyDescent="0.25">
      <c r="A258"/>
      <c r="B258" s="711" t="s">
        <v>344</v>
      </c>
      <c r="C258" s="711"/>
      <c r="D258" s="711"/>
      <c r="E258" s="711"/>
      <c r="F258" s="711"/>
      <c r="G258" s="711"/>
      <c r="H258" s="712"/>
      <c r="I258" s="200">
        <v>1.82</v>
      </c>
    </row>
    <row r="259" spans="1:9" ht="33.75" customHeight="1" x14ac:dyDescent="0.25">
      <c r="A259"/>
      <c r="B259" s="692" t="s">
        <v>345</v>
      </c>
      <c r="C259" s="692"/>
      <c r="D259" s="692"/>
      <c r="E259" s="692"/>
      <c r="F259" s="692"/>
      <c r="G259" s="692"/>
      <c r="H259" s="693"/>
      <c r="I259" s="200">
        <v>16.21</v>
      </c>
    </row>
    <row r="260" spans="1:9" ht="75" customHeight="1" x14ac:dyDescent="0.25">
      <c r="A260"/>
      <c r="B260" s="711" t="s">
        <v>346</v>
      </c>
      <c r="C260" s="711"/>
      <c r="D260" s="711"/>
      <c r="E260" s="711"/>
      <c r="F260" s="711"/>
      <c r="G260" s="711"/>
      <c r="H260" s="712"/>
      <c r="I260" s="173" t="s">
        <v>347</v>
      </c>
    </row>
    <row r="261" spans="1:9" ht="40.5" customHeight="1" x14ac:dyDescent="0.25">
      <c r="A261"/>
      <c r="B261" s="679" t="s">
        <v>348</v>
      </c>
      <c r="C261" s="679"/>
      <c r="D261" s="679"/>
      <c r="E261" s="679"/>
      <c r="F261" s="679"/>
      <c r="G261" s="679"/>
      <c r="H261" s="680"/>
      <c r="I261" s="203" t="s">
        <v>349</v>
      </c>
    </row>
    <row r="262" spans="1:9" ht="91.5" customHeight="1" x14ac:dyDescent="0.25">
      <c r="A262"/>
      <c r="B262" s="692" t="s">
        <v>350</v>
      </c>
      <c r="C262" s="692"/>
      <c r="D262" s="692"/>
      <c r="E262" s="692"/>
      <c r="F262" s="692"/>
      <c r="G262" s="692"/>
      <c r="H262" s="693"/>
      <c r="I262" s="204" t="s">
        <v>351</v>
      </c>
    </row>
    <row r="263" spans="1:9" ht="77.25" customHeight="1" x14ac:dyDescent="0.25">
      <c r="A263"/>
      <c r="B263" s="692" t="s">
        <v>352</v>
      </c>
      <c r="C263" s="692"/>
      <c r="D263" s="692"/>
      <c r="E263" s="692"/>
      <c r="F263" s="692"/>
      <c r="G263" s="692"/>
      <c r="H263" s="693"/>
      <c r="I263" s="204" t="s">
        <v>353</v>
      </c>
    </row>
    <row r="264" spans="1:9" ht="39" customHeight="1" x14ac:dyDescent="0.25">
      <c r="A264"/>
      <c r="B264" s="692" t="s">
        <v>444</v>
      </c>
      <c r="C264" s="692"/>
      <c r="D264" s="692"/>
      <c r="E264" s="692"/>
      <c r="F264" s="692"/>
      <c r="G264" s="692"/>
      <c r="H264" s="693"/>
      <c r="I264" s="204">
        <v>65.319999999999993</v>
      </c>
    </row>
    <row r="265" spans="1:9" ht="18.75" customHeight="1" x14ac:dyDescent="0.25">
      <c r="A265"/>
      <c r="B265" s="692" t="s">
        <v>443</v>
      </c>
      <c r="C265" s="692"/>
      <c r="D265" s="692"/>
      <c r="E265" s="692"/>
      <c r="F265" s="692"/>
      <c r="G265" s="692"/>
      <c r="H265" s="693"/>
      <c r="I265" s="261" t="s">
        <v>354</v>
      </c>
    </row>
    <row r="266" spans="1:9" ht="30" customHeight="1" x14ac:dyDescent="0.25">
      <c r="A266"/>
      <c r="B266" s="709" t="s">
        <v>521</v>
      </c>
      <c r="C266" s="709"/>
      <c r="D266" s="709"/>
      <c r="E266" s="709"/>
      <c r="F266" s="709"/>
      <c r="G266" s="709"/>
      <c r="H266" s="710"/>
      <c r="I266" s="245" t="s">
        <v>424</v>
      </c>
    </row>
    <row r="267" spans="1:9" x14ac:dyDescent="0.25">
      <c r="A267"/>
      <c r="B267" s="164" t="s">
        <v>336</v>
      </c>
      <c r="C267" s="142" t="s">
        <v>337</v>
      </c>
      <c r="D267" s="142"/>
      <c r="E267" s="147"/>
      <c r="F267" s="142" t="s">
        <v>338</v>
      </c>
      <c r="G267" s="147"/>
      <c r="H267" s="199"/>
      <c r="I267" s="245" t="s">
        <v>424</v>
      </c>
    </row>
    <row r="268" spans="1:9" x14ac:dyDescent="0.25">
      <c r="A268"/>
      <c r="B268" s="142" t="s">
        <v>166</v>
      </c>
      <c r="C268" s="142">
        <v>0.01</v>
      </c>
      <c r="D268" s="142" t="s">
        <v>11</v>
      </c>
      <c r="E268" s="147"/>
      <c r="F268" s="182">
        <v>50</v>
      </c>
      <c r="G268" s="147"/>
      <c r="H268" s="199"/>
      <c r="I268" s="271">
        <v>19.190000000000001</v>
      </c>
    </row>
    <row r="269" spans="1:9" x14ac:dyDescent="0.25">
      <c r="A269"/>
      <c r="B269" s="142" t="s">
        <v>12</v>
      </c>
      <c r="C269" s="182">
        <f>F268+0.01</f>
        <v>50.01</v>
      </c>
      <c r="D269" s="142" t="s">
        <v>11</v>
      </c>
      <c r="E269" s="147"/>
      <c r="F269" s="182">
        <v>100</v>
      </c>
      <c r="G269" s="147"/>
      <c r="H269" s="199"/>
      <c r="I269" s="271">
        <v>38.630000000000003</v>
      </c>
    </row>
    <row r="270" spans="1:9" x14ac:dyDescent="0.25">
      <c r="A270"/>
      <c r="B270" s="142" t="s">
        <v>13</v>
      </c>
      <c r="C270" s="182">
        <f t="shared" ref="C270:C292" si="7">F269+0.01</f>
        <v>100.01</v>
      </c>
      <c r="D270" s="142" t="s">
        <v>11</v>
      </c>
      <c r="E270" s="147"/>
      <c r="F270" s="182">
        <v>150</v>
      </c>
      <c r="G270" s="147"/>
      <c r="H270" s="199"/>
      <c r="I270" s="271">
        <v>57.91</v>
      </c>
    </row>
    <row r="271" spans="1:9" x14ac:dyDescent="0.25">
      <c r="A271"/>
      <c r="B271" s="142" t="s">
        <v>14</v>
      </c>
      <c r="C271" s="182">
        <f t="shared" si="7"/>
        <v>150.01</v>
      </c>
      <c r="D271" s="142" t="s">
        <v>11</v>
      </c>
      <c r="E271" s="147"/>
      <c r="F271" s="182">
        <v>200</v>
      </c>
      <c r="G271" s="147"/>
      <c r="H271" s="199"/>
      <c r="I271" s="271">
        <v>77.37</v>
      </c>
    </row>
    <row r="272" spans="1:9" x14ac:dyDescent="0.25">
      <c r="A272"/>
      <c r="B272" s="142" t="s">
        <v>15</v>
      </c>
      <c r="C272" s="182">
        <f t="shared" si="7"/>
        <v>200.01</v>
      </c>
      <c r="D272" s="142" t="s">
        <v>11</v>
      </c>
      <c r="E272" s="147"/>
      <c r="F272" s="182">
        <v>250</v>
      </c>
      <c r="G272" s="147"/>
      <c r="H272" s="199"/>
      <c r="I272" s="271">
        <v>96.68</v>
      </c>
    </row>
    <row r="273" spans="1:9" x14ac:dyDescent="0.25">
      <c r="A273"/>
      <c r="B273" s="142" t="s">
        <v>16</v>
      </c>
      <c r="C273" s="182">
        <f t="shared" si="7"/>
        <v>250.01</v>
      </c>
      <c r="D273" s="142" t="s">
        <v>11</v>
      </c>
      <c r="E273" s="147"/>
      <c r="F273" s="182">
        <v>300</v>
      </c>
      <c r="G273" s="147"/>
      <c r="H273" s="199"/>
      <c r="I273" s="271">
        <v>115.95</v>
      </c>
    </row>
    <row r="274" spans="1:9" x14ac:dyDescent="0.25">
      <c r="A274"/>
      <c r="B274" s="142" t="s">
        <v>17</v>
      </c>
      <c r="C274" s="182">
        <f t="shared" si="7"/>
        <v>300.01</v>
      </c>
      <c r="D274" s="142" t="s">
        <v>11</v>
      </c>
      <c r="E274" s="147"/>
      <c r="F274" s="182">
        <v>350</v>
      </c>
      <c r="G274" s="147"/>
      <c r="H274" s="199"/>
      <c r="I274" s="271">
        <v>135.43</v>
      </c>
    </row>
    <row r="275" spans="1:9" x14ac:dyDescent="0.25">
      <c r="A275"/>
      <c r="B275" s="142" t="s">
        <v>167</v>
      </c>
      <c r="C275" s="182">
        <f t="shared" si="7"/>
        <v>350.01</v>
      </c>
      <c r="D275" s="142" t="s">
        <v>11</v>
      </c>
      <c r="E275" s="147"/>
      <c r="F275" s="182">
        <v>400</v>
      </c>
      <c r="G275" s="147"/>
      <c r="H275" s="199"/>
      <c r="I275" s="271">
        <v>154.72</v>
      </c>
    </row>
    <row r="276" spans="1:9" x14ac:dyDescent="0.25">
      <c r="A276"/>
      <c r="B276" s="142" t="s">
        <v>168</v>
      </c>
      <c r="C276" s="182">
        <f t="shared" si="7"/>
        <v>400.01</v>
      </c>
      <c r="D276" s="142" t="s">
        <v>11</v>
      </c>
      <c r="E276" s="147"/>
      <c r="F276" s="182">
        <v>450</v>
      </c>
      <c r="G276" s="147"/>
      <c r="H276" s="199"/>
      <c r="I276" s="271">
        <v>174.02</v>
      </c>
    </row>
    <row r="277" spans="1:9" x14ac:dyDescent="0.25">
      <c r="A277"/>
      <c r="B277" s="142" t="s">
        <v>169</v>
      </c>
      <c r="C277" s="182">
        <f t="shared" si="7"/>
        <v>450.01</v>
      </c>
      <c r="D277" s="142" t="s">
        <v>11</v>
      </c>
      <c r="E277" s="147"/>
      <c r="F277" s="182">
        <v>500</v>
      </c>
      <c r="G277" s="147"/>
      <c r="H277" s="199"/>
      <c r="I277" s="271">
        <v>193.45</v>
      </c>
    </row>
    <row r="278" spans="1:9" x14ac:dyDescent="0.25">
      <c r="A278"/>
      <c r="B278" s="142" t="s">
        <v>170</v>
      </c>
      <c r="C278" s="182">
        <f t="shared" si="7"/>
        <v>500.01</v>
      </c>
      <c r="D278" s="142" t="s">
        <v>11</v>
      </c>
      <c r="E278" s="147"/>
      <c r="F278" s="182">
        <v>600</v>
      </c>
      <c r="G278" s="147"/>
      <c r="H278" s="199"/>
      <c r="I278" s="271">
        <v>232.22</v>
      </c>
    </row>
    <row r="279" spans="1:9" x14ac:dyDescent="0.25">
      <c r="A279"/>
      <c r="B279" s="142" t="s">
        <v>171</v>
      </c>
      <c r="C279" s="182">
        <f t="shared" si="7"/>
        <v>600.01</v>
      </c>
      <c r="D279" s="142" t="s">
        <v>11</v>
      </c>
      <c r="E279" s="147"/>
      <c r="F279" s="182">
        <v>700</v>
      </c>
      <c r="G279" s="147"/>
      <c r="H279" s="199"/>
      <c r="I279" s="271">
        <v>270.97000000000003</v>
      </c>
    </row>
    <row r="280" spans="1:9" x14ac:dyDescent="0.25">
      <c r="A280"/>
      <c r="B280" s="142" t="s">
        <v>172</v>
      </c>
      <c r="C280" s="182">
        <f t="shared" si="7"/>
        <v>700.01</v>
      </c>
      <c r="D280" s="142" t="s">
        <v>11</v>
      </c>
      <c r="E280" s="147"/>
      <c r="F280" s="182">
        <v>800</v>
      </c>
      <c r="G280" s="147"/>
      <c r="H280" s="199"/>
      <c r="I280" s="271">
        <v>309.58</v>
      </c>
    </row>
    <row r="281" spans="1:9" x14ac:dyDescent="0.25">
      <c r="A281"/>
      <c r="B281" s="142" t="s">
        <v>173</v>
      </c>
      <c r="C281" s="182">
        <f t="shared" si="7"/>
        <v>800.01</v>
      </c>
      <c r="D281" s="142" t="s">
        <v>11</v>
      </c>
      <c r="E281" s="147"/>
      <c r="F281" s="182">
        <v>900</v>
      </c>
      <c r="G281" s="147"/>
      <c r="H281" s="199"/>
      <c r="I281" s="271">
        <v>348.32</v>
      </c>
    </row>
    <row r="282" spans="1:9" x14ac:dyDescent="0.25">
      <c r="A282"/>
      <c r="B282" s="142" t="s">
        <v>174</v>
      </c>
      <c r="C282" s="182">
        <f t="shared" si="7"/>
        <v>900.01</v>
      </c>
      <c r="D282" s="142" t="s">
        <v>11</v>
      </c>
      <c r="E282" s="147"/>
      <c r="F282" s="182">
        <v>1000</v>
      </c>
      <c r="G282" s="147"/>
      <c r="H282" s="199"/>
      <c r="I282" s="271">
        <v>387.05</v>
      </c>
    </row>
    <row r="283" spans="1:9" x14ac:dyDescent="0.25">
      <c r="A283"/>
      <c r="B283" s="142" t="s">
        <v>175</v>
      </c>
      <c r="C283" s="182">
        <f t="shared" si="7"/>
        <v>1000.01</v>
      </c>
      <c r="D283" s="142" t="s">
        <v>11</v>
      </c>
      <c r="E283" s="147"/>
      <c r="F283" s="182">
        <v>1500</v>
      </c>
      <c r="G283" s="147"/>
      <c r="H283" s="199"/>
      <c r="I283" s="271">
        <v>435.32</v>
      </c>
    </row>
    <row r="284" spans="1:9" x14ac:dyDescent="0.25">
      <c r="A284"/>
      <c r="B284" s="142" t="s">
        <v>176</v>
      </c>
      <c r="C284" s="182">
        <f t="shared" si="7"/>
        <v>1500.01</v>
      </c>
      <c r="D284" s="142" t="s">
        <v>11</v>
      </c>
      <c r="E284" s="147"/>
      <c r="F284" s="182">
        <v>2000</v>
      </c>
      <c r="G284" s="147"/>
      <c r="H284" s="199"/>
      <c r="I284" s="271">
        <v>483.58</v>
      </c>
    </row>
    <row r="285" spans="1:9" x14ac:dyDescent="0.25">
      <c r="A285"/>
      <c r="B285" s="142" t="s">
        <v>177</v>
      </c>
      <c r="C285" s="182">
        <f t="shared" si="7"/>
        <v>2000.01</v>
      </c>
      <c r="D285" s="142" t="s">
        <v>11</v>
      </c>
      <c r="E285" s="147"/>
      <c r="F285" s="182">
        <v>2500</v>
      </c>
      <c r="G285" s="147"/>
      <c r="H285" s="199"/>
      <c r="I285" s="271">
        <v>531.82000000000005</v>
      </c>
    </row>
    <row r="286" spans="1:9" x14ac:dyDescent="0.25">
      <c r="A286"/>
      <c r="B286" s="142" t="s">
        <v>178</v>
      </c>
      <c r="C286" s="182">
        <f t="shared" si="7"/>
        <v>2500.0100000000002</v>
      </c>
      <c r="D286" s="142" t="s">
        <v>11</v>
      </c>
      <c r="E286" s="147"/>
      <c r="F286" s="182">
        <v>3000</v>
      </c>
      <c r="G286" s="147"/>
      <c r="H286" s="199"/>
      <c r="I286" s="271">
        <v>580.08000000000004</v>
      </c>
    </row>
    <row r="287" spans="1:9" x14ac:dyDescent="0.25">
      <c r="A287"/>
      <c r="B287" s="142" t="s">
        <v>179</v>
      </c>
      <c r="C287" s="182">
        <f t="shared" si="7"/>
        <v>3000.01</v>
      </c>
      <c r="D287" s="142" t="s">
        <v>11</v>
      </c>
      <c r="E287" s="147"/>
      <c r="F287" s="182">
        <v>3500</v>
      </c>
      <c r="G287" s="147"/>
      <c r="H287" s="199"/>
      <c r="I287" s="271">
        <v>628.38</v>
      </c>
    </row>
    <row r="288" spans="1:9" x14ac:dyDescent="0.25">
      <c r="A288"/>
      <c r="B288" s="142" t="s">
        <v>180</v>
      </c>
      <c r="C288" s="182">
        <f t="shared" si="7"/>
        <v>3500.01</v>
      </c>
      <c r="D288" s="142" t="s">
        <v>11</v>
      </c>
      <c r="E288" s="147"/>
      <c r="F288" s="182">
        <v>4000</v>
      </c>
      <c r="G288" s="147"/>
      <c r="H288" s="199"/>
      <c r="I288" s="271">
        <v>676.63</v>
      </c>
    </row>
    <row r="289" spans="1:9" x14ac:dyDescent="0.25">
      <c r="A289"/>
      <c r="B289" s="142" t="s">
        <v>181</v>
      </c>
      <c r="C289" s="182">
        <f t="shared" si="7"/>
        <v>4000.01</v>
      </c>
      <c r="D289" s="142" t="s">
        <v>11</v>
      </c>
      <c r="E289" s="147"/>
      <c r="F289" s="182">
        <v>4500</v>
      </c>
      <c r="G289" s="147"/>
      <c r="H289" s="199"/>
      <c r="I289" s="271">
        <v>724.87</v>
      </c>
    </row>
    <row r="290" spans="1:9" x14ac:dyDescent="0.25">
      <c r="A290"/>
      <c r="B290" s="142" t="s">
        <v>182</v>
      </c>
      <c r="C290" s="182">
        <f t="shared" si="7"/>
        <v>4500.01</v>
      </c>
      <c r="D290" s="142" t="s">
        <v>11</v>
      </c>
      <c r="E290" s="147"/>
      <c r="F290" s="182">
        <v>5000</v>
      </c>
      <c r="G290" s="147"/>
      <c r="H290" s="199"/>
      <c r="I290" s="271">
        <v>773.1</v>
      </c>
    </row>
    <row r="291" spans="1:9" x14ac:dyDescent="0.25">
      <c r="A291"/>
      <c r="B291" s="142" t="s">
        <v>183</v>
      </c>
      <c r="C291" s="182">
        <f t="shared" si="7"/>
        <v>5000.01</v>
      </c>
      <c r="D291" s="142" t="s">
        <v>11</v>
      </c>
      <c r="E291" s="147"/>
      <c r="F291" s="182">
        <v>7500</v>
      </c>
      <c r="G291" s="147"/>
      <c r="H291" s="199"/>
      <c r="I291" s="271">
        <v>821.37</v>
      </c>
    </row>
    <row r="292" spans="1:9" x14ac:dyDescent="0.25">
      <c r="A292"/>
      <c r="B292" s="142" t="s">
        <v>184</v>
      </c>
      <c r="C292" s="182">
        <f t="shared" si="7"/>
        <v>7500.01</v>
      </c>
      <c r="D292" s="142" t="s">
        <v>11</v>
      </c>
      <c r="E292" s="147"/>
      <c r="F292" s="182">
        <v>10000</v>
      </c>
      <c r="G292" s="147"/>
      <c r="H292" s="199"/>
      <c r="I292" s="271">
        <v>869.6</v>
      </c>
    </row>
    <row r="293" spans="1:9" x14ac:dyDescent="0.25">
      <c r="A293"/>
      <c r="B293" s="142" t="s">
        <v>223</v>
      </c>
      <c r="C293" s="182" t="s">
        <v>254</v>
      </c>
      <c r="D293" s="182">
        <f>F292</f>
        <v>10000</v>
      </c>
      <c r="E293" s="147"/>
      <c r="F293" s="182"/>
      <c r="G293" s="147"/>
      <c r="H293" s="199"/>
      <c r="I293" s="271">
        <v>917.89</v>
      </c>
    </row>
    <row r="294" spans="1:9" ht="15.75" thickBot="1" x14ac:dyDescent="0.3">
      <c r="A294"/>
      <c r="B294" s="702"/>
      <c r="C294" s="702"/>
      <c r="D294" s="702"/>
      <c r="E294" s="702"/>
      <c r="F294" s="702"/>
      <c r="G294" s="702"/>
      <c r="H294" s="702"/>
      <c r="I294" s="262"/>
    </row>
    <row r="295" spans="1:9" x14ac:dyDescent="0.25">
      <c r="A295"/>
      <c r="B295" s="682" t="s">
        <v>355</v>
      </c>
      <c r="C295" s="683"/>
      <c r="D295" s="683"/>
      <c r="E295" s="683"/>
      <c r="F295" s="683"/>
      <c r="G295" s="683"/>
      <c r="H295" s="683"/>
      <c r="I295" s="684"/>
    </row>
    <row r="296" spans="1:9" ht="15.75" thickBot="1" x14ac:dyDescent="0.3">
      <c r="A296"/>
      <c r="B296" s="685" t="s">
        <v>356</v>
      </c>
      <c r="C296" s="686"/>
      <c r="D296" s="686"/>
      <c r="E296" s="686"/>
      <c r="F296" s="686"/>
      <c r="G296" s="686"/>
      <c r="H296" s="686"/>
      <c r="I296" s="687"/>
    </row>
    <row r="297" spans="1:9" x14ac:dyDescent="0.25">
      <c r="A297"/>
      <c r="B297" s="688" t="s">
        <v>1</v>
      </c>
      <c r="C297" s="688"/>
      <c r="D297" s="688"/>
      <c r="E297" s="688"/>
      <c r="F297" s="688"/>
      <c r="G297" s="688"/>
      <c r="H297" s="689"/>
      <c r="I297" s="235" t="s">
        <v>264</v>
      </c>
    </row>
    <row r="298" spans="1:9" x14ac:dyDescent="0.25">
      <c r="A298"/>
      <c r="B298" s="703" t="s">
        <v>357</v>
      </c>
      <c r="C298" s="703"/>
      <c r="D298" s="703"/>
      <c r="E298" s="703"/>
      <c r="F298" s="703"/>
      <c r="G298" s="703"/>
      <c r="H298" s="704"/>
      <c r="I298" s="705" t="s">
        <v>424</v>
      </c>
    </row>
    <row r="299" spans="1:9" x14ac:dyDescent="0.25">
      <c r="A299"/>
      <c r="B299" s="702" t="s">
        <v>358</v>
      </c>
      <c r="C299" s="702"/>
      <c r="D299" s="702"/>
      <c r="E299" s="702"/>
      <c r="F299" s="702"/>
      <c r="G299" s="702"/>
      <c r="H299" s="708"/>
      <c r="I299" s="706"/>
    </row>
    <row r="300" spans="1:9" x14ac:dyDescent="0.25">
      <c r="A300"/>
      <c r="C300" s="152" t="s">
        <v>49</v>
      </c>
      <c r="D300" s="152"/>
      <c r="E300" s="152"/>
      <c r="F300" s="152"/>
      <c r="G300" s="152" t="s">
        <v>50</v>
      </c>
      <c r="I300" s="707"/>
    </row>
    <row r="301" spans="1:9" x14ac:dyDescent="0.25">
      <c r="A301"/>
      <c r="B301" s="206" t="s">
        <v>359</v>
      </c>
      <c r="C301" s="207">
        <v>0.01</v>
      </c>
      <c r="D301" s="147"/>
      <c r="E301" s="142" t="s">
        <v>11</v>
      </c>
      <c r="F301" s="147"/>
      <c r="G301" s="207">
        <v>2212.21</v>
      </c>
      <c r="H301" s="199"/>
      <c r="I301" s="208">
        <v>256.86</v>
      </c>
    </row>
    <row r="302" spans="1:9" x14ac:dyDescent="0.25">
      <c r="A302"/>
      <c r="B302" s="142" t="s">
        <v>360</v>
      </c>
      <c r="C302" s="207">
        <f>G301+0.01</f>
        <v>2212.2200000000003</v>
      </c>
      <c r="D302" s="147"/>
      <c r="E302" s="142" t="s">
        <v>11</v>
      </c>
      <c r="F302" s="147"/>
      <c r="G302" s="207">
        <v>5407.63</v>
      </c>
      <c r="H302" s="199"/>
      <c r="I302" s="208">
        <v>386.63</v>
      </c>
    </row>
    <row r="303" spans="1:9" x14ac:dyDescent="0.25">
      <c r="A303"/>
      <c r="B303" s="142" t="s">
        <v>361</v>
      </c>
      <c r="C303" s="207">
        <f t="shared" ref="C303:C324" si="8">G302+0.01</f>
        <v>5407.64</v>
      </c>
      <c r="D303" s="147"/>
      <c r="E303" s="142" t="s">
        <v>11</v>
      </c>
      <c r="F303" s="147"/>
      <c r="G303" s="207">
        <v>8848.85</v>
      </c>
      <c r="H303" s="199"/>
      <c r="I303" s="208">
        <v>558.32000000000005</v>
      </c>
    </row>
    <row r="304" spans="1:9" x14ac:dyDescent="0.25">
      <c r="A304"/>
      <c r="B304" s="142" t="s">
        <v>362</v>
      </c>
      <c r="C304" s="207">
        <f t="shared" si="8"/>
        <v>8848.86</v>
      </c>
      <c r="D304" s="147"/>
      <c r="E304" s="142" t="s">
        <v>11</v>
      </c>
      <c r="F304" s="147"/>
      <c r="G304" s="207">
        <v>17820.599999999999</v>
      </c>
      <c r="H304" s="199"/>
      <c r="I304" s="208">
        <v>838.17</v>
      </c>
    </row>
    <row r="305" spans="1:9" x14ac:dyDescent="0.25">
      <c r="A305"/>
      <c r="B305" s="142" t="s">
        <v>363</v>
      </c>
      <c r="C305" s="207">
        <f t="shared" si="8"/>
        <v>17820.609999999997</v>
      </c>
      <c r="D305" s="147"/>
      <c r="E305" s="142" t="s">
        <v>11</v>
      </c>
      <c r="F305" s="147"/>
      <c r="G305" s="207">
        <v>26792.36</v>
      </c>
      <c r="H305" s="199"/>
      <c r="I305" s="208">
        <v>1289.71</v>
      </c>
    </row>
    <row r="306" spans="1:9" x14ac:dyDescent="0.25">
      <c r="A306"/>
      <c r="B306" s="142" t="s">
        <v>364</v>
      </c>
      <c r="C306" s="207">
        <f t="shared" si="8"/>
        <v>26792.37</v>
      </c>
      <c r="D306" s="147"/>
      <c r="E306" s="142" t="s">
        <v>11</v>
      </c>
      <c r="F306" s="147"/>
      <c r="G306" s="207">
        <v>35764.129999999997</v>
      </c>
      <c r="H306" s="199"/>
      <c r="I306" s="208">
        <v>1719.61</v>
      </c>
    </row>
    <row r="307" spans="1:9" x14ac:dyDescent="0.25">
      <c r="A307"/>
      <c r="B307" s="142" t="s">
        <v>365</v>
      </c>
      <c r="C307" s="207">
        <f t="shared" si="8"/>
        <v>35764.14</v>
      </c>
      <c r="D307" s="147"/>
      <c r="E307" s="142" t="s">
        <v>11</v>
      </c>
      <c r="F307" s="147"/>
      <c r="G307" s="207">
        <v>53584.74</v>
      </c>
      <c r="H307" s="199"/>
      <c r="I307" s="208">
        <v>2149.52</v>
      </c>
    </row>
    <row r="308" spans="1:9" x14ac:dyDescent="0.25">
      <c r="A308"/>
      <c r="B308" s="142" t="s">
        <v>366</v>
      </c>
      <c r="C308" s="207">
        <f t="shared" si="8"/>
        <v>53584.75</v>
      </c>
      <c r="D308" s="147"/>
      <c r="E308" s="142" t="s">
        <v>11</v>
      </c>
      <c r="F308" s="147"/>
      <c r="G308" s="207">
        <v>71405.37</v>
      </c>
      <c r="H308" s="199"/>
      <c r="I308" s="208">
        <v>2407.7399999999998</v>
      </c>
    </row>
    <row r="309" spans="1:9" x14ac:dyDescent="0.25">
      <c r="A309"/>
      <c r="B309" s="142" t="s">
        <v>367</v>
      </c>
      <c r="C309" s="207">
        <f t="shared" si="8"/>
        <v>71405.37999999999</v>
      </c>
      <c r="D309" s="147"/>
      <c r="E309" s="142" t="s">
        <v>11</v>
      </c>
      <c r="F309" s="147"/>
      <c r="G309" s="207">
        <v>89348.89</v>
      </c>
      <c r="H309" s="199"/>
      <c r="I309" s="208">
        <v>2580.7800000000002</v>
      </c>
    </row>
    <row r="310" spans="1:9" x14ac:dyDescent="0.25">
      <c r="A310"/>
      <c r="B310" s="142" t="s">
        <v>368</v>
      </c>
      <c r="C310" s="207">
        <f t="shared" si="8"/>
        <v>89348.9</v>
      </c>
      <c r="D310" s="147"/>
      <c r="E310" s="142" t="s">
        <v>11</v>
      </c>
      <c r="F310" s="147"/>
      <c r="G310" s="207">
        <v>107169.51</v>
      </c>
      <c r="H310" s="199"/>
      <c r="I310" s="208">
        <v>2752.47</v>
      </c>
    </row>
    <row r="311" spans="1:9" x14ac:dyDescent="0.25">
      <c r="A311"/>
      <c r="B311" s="142" t="s">
        <v>369</v>
      </c>
      <c r="C311" s="207">
        <f t="shared" si="8"/>
        <v>107169.51999999999</v>
      </c>
      <c r="D311" s="147"/>
      <c r="E311" s="142" t="s">
        <v>11</v>
      </c>
      <c r="F311" s="147"/>
      <c r="G311" s="207">
        <v>178697.79</v>
      </c>
      <c r="H311" s="199"/>
      <c r="I311" s="208">
        <v>3182.37</v>
      </c>
    </row>
    <row r="312" spans="1:9" x14ac:dyDescent="0.25">
      <c r="A312"/>
      <c r="B312" s="142" t="s">
        <v>370</v>
      </c>
      <c r="C312" s="207">
        <f t="shared" si="8"/>
        <v>178697.80000000002</v>
      </c>
      <c r="D312" s="147"/>
      <c r="E312" s="142" t="s">
        <v>11</v>
      </c>
      <c r="F312" s="147"/>
      <c r="G312" s="207">
        <v>250226.07</v>
      </c>
      <c r="H312" s="199"/>
      <c r="I312" s="208">
        <v>3957.02</v>
      </c>
    </row>
    <row r="313" spans="1:9" x14ac:dyDescent="0.25">
      <c r="A313"/>
      <c r="B313" s="142" t="s">
        <v>371</v>
      </c>
      <c r="C313" s="207">
        <f t="shared" si="8"/>
        <v>250226.08000000002</v>
      </c>
      <c r="D313" s="147"/>
      <c r="E313" s="142" t="s">
        <v>11</v>
      </c>
      <c r="F313" s="147"/>
      <c r="G313" s="207">
        <v>328882.59999999998</v>
      </c>
      <c r="H313" s="199"/>
      <c r="I313" s="208">
        <v>4730.32</v>
      </c>
    </row>
    <row r="314" spans="1:9" x14ac:dyDescent="0.25">
      <c r="A314"/>
      <c r="B314" s="142" t="s">
        <v>372</v>
      </c>
      <c r="C314" s="207">
        <f t="shared" si="8"/>
        <v>328882.61</v>
      </c>
      <c r="D314" s="147"/>
      <c r="E314" s="142" t="s">
        <v>11</v>
      </c>
      <c r="F314" s="147"/>
      <c r="G314" s="207">
        <v>357518.49</v>
      </c>
      <c r="H314" s="199"/>
      <c r="I314" s="208">
        <v>4733.01</v>
      </c>
    </row>
    <row r="315" spans="1:9" x14ac:dyDescent="0.25">
      <c r="A315"/>
      <c r="B315" s="142" t="s">
        <v>373</v>
      </c>
      <c r="C315" s="207">
        <f t="shared" si="8"/>
        <v>357518.5</v>
      </c>
      <c r="D315" s="147"/>
      <c r="E315" s="142" t="s">
        <v>11</v>
      </c>
      <c r="F315" s="147"/>
      <c r="G315" s="207">
        <v>1843512.4</v>
      </c>
      <c r="H315" s="199"/>
      <c r="I315" s="208">
        <v>4743.83</v>
      </c>
    </row>
    <row r="316" spans="1:9" x14ac:dyDescent="0.25">
      <c r="A316"/>
      <c r="B316" s="142" t="s">
        <v>374</v>
      </c>
      <c r="C316" s="207">
        <f t="shared" si="8"/>
        <v>1843512.41</v>
      </c>
      <c r="D316" s="147"/>
      <c r="E316" s="142" t="s">
        <v>11</v>
      </c>
      <c r="F316" s="147"/>
      <c r="G316" s="207">
        <v>2703818.19</v>
      </c>
      <c r="H316" s="199"/>
      <c r="I316" s="208">
        <v>5880.79</v>
      </c>
    </row>
    <row r="317" spans="1:9" x14ac:dyDescent="0.25">
      <c r="A317"/>
      <c r="B317" s="142" t="s">
        <v>375</v>
      </c>
      <c r="C317" s="207">
        <f t="shared" si="8"/>
        <v>2703818.1999999997</v>
      </c>
      <c r="D317" s="147"/>
      <c r="E317" s="142" t="s">
        <v>11</v>
      </c>
      <c r="F317" s="147"/>
      <c r="G317" s="207">
        <v>3687024.81</v>
      </c>
      <c r="H317" s="199"/>
      <c r="I317" s="208">
        <v>7044.78</v>
      </c>
    </row>
    <row r="318" spans="1:9" x14ac:dyDescent="0.25">
      <c r="A318"/>
      <c r="B318" s="142" t="s">
        <v>376</v>
      </c>
      <c r="C318" s="207">
        <f t="shared" si="8"/>
        <v>3687024.82</v>
      </c>
      <c r="D318" s="147"/>
      <c r="E318" s="142" t="s">
        <v>11</v>
      </c>
      <c r="F318" s="147"/>
      <c r="G318" s="207">
        <v>9094661.2400000002</v>
      </c>
      <c r="H318" s="199"/>
      <c r="I318" s="208">
        <v>9044.26</v>
      </c>
    </row>
    <row r="319" spans="1:9" x14ac:dyDescent="0.25">
      <c r="A319"/>
      <c r="B319" s="142" t="s">
        <v>377</v>
      </c>
      <c r="C319" s="207">
        <f t="shared" si="8"/>
        <v>9094661.25</v>
      </c>
      <c r="D319" s="147"/>
      <c r="E319" s="142" t="s">
        <v>11</v>
      </c>
      <c r="F319" s="147"/>
      <c r="G319" s="207">
        <v>18435124.120000001</v>
      </c>
      <c r="H319" s="199"/>
      <c r="I319" s="208">
        <v>11704.81</v>
      </c>
    </row>
    <row r="320" spans="1:9" x14ac:dyDescent="0.25">
      <c r="A320"/>
      <c r="B320" s="142" t="s">
        <v>378</v>
      </c>
      <c r="C320" s="207">
        <f t="shared" si="8"/>
        <v>18435124.130000003</v>
      </c>
      <c r="D320" s="147"/>
      <c r="E320" s="142" t="s">
        <v>11</v>
      </c>
      <c r="F320" s="147"/>
      <c r="G320" s="207">
        <v>27038182.059999999</v>
      </c>
      <c r="H320" s="199"/>
      <c r="I320" s="208">
        <v>15695.65</v>
      </c>
    </row>
    <row r="321" spans="1:9" x14ac:dyDescent="0.25">
      <c r="A321"/>
      <c r="B321" s="142" t="s">
        <v>379</v>
      </c>
      <c r="C321" s="207">
        <f t="shared" si="8"/>
        <v>27038182.07</v>
      </c>
      <c r="D321" s="147"/>
      <c r="E321" s="142" t="s">
        <v>11</v>
      </c>
      <c r="F321" s="147"/>
      <c r="G321" s="207">
        <v>36870248.270000003</v>
      </c>
      <c r="H321" s="199"/>
      <c r="I321" s="208">
        <v>21016.76</v>
      </c>
    </row>
    <row r="322" spans="1:9" x14ac:dyDescent="0.25">
      <c r="A322"/>
      <c r="B322" s="142" t="s">
        <v>380</v>
      </c>
      <c r="C322" s="207">
        <f t="shared" si="8"/>
        <v>36870248.280000001</v>
      </c>
      <c r="D322" s="147"/>
      <c r="E322" s="142" t="s">
        <v>11</v>
      </c>
      <c r="F322" s="147"/>
      <c r="G322" s="207">
        <v>55305372.409999996</v>
      </c>
      <c r="H322" s="199"/>
      <c r="I322" s="208">
        <v>27668.16</v>
      </c>
    </row>
    <row r="323" spans="1:9" x14ac:dyDescent="0.25">
      <c r="A323"/>
      <c r="B323" s="142" t="s">
        <v>381</v>
      </c>
      <c r="C323" s="207">
        <f t="shared" si="8"/>
        <v>55305372.419999994</v>
      </c>
      <c r="D323" s="147"/>
      <c r="E323" s="142" t="s">
        <v>11</v>
      </c>
      <c r="F323" s="147"/>
      <c r="G323" s="207">
        <v>73740496.560000002</v>
      </c>
      <c r="H323" s="199"/>
      <c r="I323" s="208">
        <v>35649.82</v>
      </c>
    </row>
    <row r="324" spans="1:9" x14ac:dyDescent="0.25">
      <c r="A324"/>
      <c r="B324" s="142" t="s">
        <v>382</v>
      </c>
      <c r="C324" s="207">
        <f t="shared" si="8"/>
        <v>73740496.570000008</v>
      </c>
      <c r="D324" s="147"/>
      <c r="E324" s="142" t="s">
        <v>11</v>
      </c>
      <c r="F324" s="147"/>
      <c r="G324" s="207">
        <v>110610744.84999999</v>
      </c>
      <c r="H324" s="199"/>
      <c r="I324" s="208">
        <v>43555.8</v>
      </c>
    </row>
    <row r="325" spans="1:9" x14ac:dyDescent="0.25">
      <c r="A325"/>
      <c r="B325" s="142" t="s">
        <v>383</v>
      </c>
      <c r="C325" s="182">
        <f>G324+0.01</f>
        <v>110610744.86</v>
      </c>
      <c r="D325" s="147"/>
      <c r="E325" s="147"/>
      <c r="F325" s="147"/>
      <c r="G325" s="182" t="s">
        <v>384</v>
      </c>
      <c r="H325" s="199"/>
      <c r="I325" s="208">
        <v>53215.03</v>
      </c>
    </row>
    <row r="326" spans="1:9" x14ac:dyDescent="0.25">
      <c r="A326"/>
      <c r="B326" s="696" t="s">
        <v>385</v>
      </c>
      <c r="C326" s="696"/>
      <c r="D326" s="147"/>
      <c r="E326" s="147"/>
      <c r="F326" s="147"/>
      <c r="G326" s="147"/>
      <c r="H326" s="199"/>
      <c r="I326" s="201" t="s">
        <v>386</v>
      </c>
    </row>
    <row r="327" spans="1:9" x14ac:dyDescent="0.25">
      <c r="A327"/>
      <c r="B327" s="700" t="s">
        <v>387</v>
      </c>
      <c r="C327" s="700"/>
      <c r="D327" s="700"/>
      <c r="E327" s="700"/>
      <c r="F327" s="700"/>
      <c r="G327" s="700"/>
      <c r="H327" s="701"/>
      <c r="I327" s="202">
        <v>243.33</v>
      </c>
    </row>
    <row r="328" spans="1:9" x14ac:dyDescent="0.25">
      <c r="A328"/>
      <c r="B328" s="696" t="s">
        <v>385</v>
      </c>
      <c r="C328" s="696"/>
      <c r="D328" s="147"/>
      <c r="E328" s="147"/>
      <c r="F328" s="147"/>
      <c r="G328" s="147"/>
      <c r="H328" s="199"/>
      <c r="I328" s="201" t="s">
        <v>386</v>
      </c>
    </row>
    <row r="329" spans="1:9" ht="47.25" customHeight="1" x14ac:dyDescent="0.25">
      <c r="A329"/>
      <c r="B329" s="679" t="s">
        <v>185</v>
      </c>
      <c r="C329" s="679"/>
      <c r="D329" s="679"/>
      <c r="E329" s="679"/>
      <c r="F329" s="679"/>
      <c r="G329" s="679"/>
      <c r="H329" s="680"/>
      <c r="I329" s="200">
        <v>101.38</v>
      </c>
    </row>
    <row r="330" spans="1:9" x14ac:dyDescent="0.25">
      <c r="A330"/>
      <c r="B330" s="696" t="s">
        <v>385</v>
      </c>
      <c r="C330" s="696"/>
      <c r="D330" s="147"/>
      <c r="E330" s="147"/>
      <c r="F330" s="147"/>
      <c r="G330" s="147"/>
      <c r="H330" s="199"/>
      <c r="I330" s="201" t="s">
        <v>386</v>
      </c>
    </row>
    <row r="331" spans="1:9" x14ac:dyDescent="0.25">
      <c r="A331"/>
      <c r="B331" s="692" t="s">
        <v>388</v>
      </c>
      <c r="C331" s="692"/>
      <c r="D331" s="692"/>
      <c r="E331" s="692"/>
      <c r="F331" s="692"/>
      <c r="G331" s="692"/>
      <c r="H331" s="693"/>
      <c r="I331" s="200">
        <v>33.79</v>
      </c>
    </row>
    <row r="332" spans="1:9" ht="29.25" customHeight="1" x14ac:dyDescent="0.25">
      <c r="A332" s="209"/>
      <c r="B332" s="697" t="s">
        <v>389</v>
      </c>
      <c r="C332" s="697"/>
      <c r="D332" s="697"/>
      <c r="E332" s="697"/>
      <c r="F332" s="697"/>
      <c r="G332" s="697"/>
      <c r="H332" s="698"/>
      <c r="I332" s="210">
        <v>243.33</v>
      </c>
    </row>
    <row r="333" spans="1:9" x14ac:dyDescent="0.25">
      <c r="A333"/>
      <c r="B333" s="696" t="s">
        <v>385</v>
      </c>
      <c r="C333" s="696"/>
      <c r="D333" s="147"/>
      <c r="E333" s="147"/>
      <c r="F333" s="147"/>
      <c r="G333" s="147"/>
      <c r="H333" s="199"/>
      <c r="I333" s="201" t="s">
        <v>386</v>
      </c>
    </row>
    <row r="334" spans="1:9" ht="53.25" customHeight="1" x14ac:dyDescent="0.25">
      <c r="A334"/>
      <c r="B334" s="692" t="s">
        <v>390</v>
      </c>
      <c r="C334" s="692"/>
      <c r="D334" s="692"/>
      <c r="E334" s="692"/>
      <c r="F334" s="692"/>
      <c r="G334" s="692"/>
      <c r="H334" s="693"/>
      <c r="I334" s="200">
        <v>33.79</v>
      </c>
    </row>
    <row r="335" spans="1:9" x14ac:dyDescent="0.25">
      <c r="A335"/>
      <c r="B335" s="696" t="s">
        <v>385</v>
      </c>
      <c r="C335" s="696"/>
      <c r="D335" s="147"/>
      <c r="E335" s="147"/>
      <c r="F335" s="147"/>
      <c r="G335" s="147"/>
      <c r="H335" s="199"/>
      <c r="I335" s="201" t="s">
        <v>386</v>
      </c>
    </row>
    <row r="336" spans="1:9" ht="35.25" customHeight="1" x14ac:dyDescent="0.25">
      <c r="A336"/>
      <c r="B336" s="679" t="s">
        <v>391</v>
      </c>
      <c r="C336" s="679"/>
      <c r="D336" s="679"/>
      <c r="E336" s="679"/>
      <c r="F336" s="679"/>
      <c r="G336" s="679"/>
      <c r="H336" s="680"/>
      <c r="I336" s="200">
        <v>33.79</v>
      </c>
    </row>
    <row r="337" spans="1:9" ht="36.75" customHeight="1" x14ac:dyDescent="0.25">
      <c r="A337"/>
      <c r="B337" s="679" t="s">
        <v>188</v>
      </c>
      <c r="C337" s="679"/>
      <c r="D337" s="679"/>
      <c r="E337" s="679"/>
      <c r="F337" s="679"/>
      <c r="G337" s="679"/>
      <c r="H337" s="680"/>
      <c r="I337" s="200">
        <v>513.72</v>
      </c>
    </row>
    <row r="338" spans="1:9" ht="16.5" customHeight="1" x14ac:dyDescent="0.25">
      <c r="B338" s="679" t="s">
        <v>392</v>
      </c>
      <c r="C338" s="679"/>
      <c r="D338" s="679"/>
      <c r="E338" s="679"/>
      <c r="F338" s="679"/>
      <c r="G338" s="679"/>
      <c r="H338" s="680"/>
      <c r="I338" s="200">
        <v>54.06</v>
      </c>
    </row>
    <row r="339" spans="1:9" x14ac:dyDescent="0.25">
      <c r="B339" s="679" t="s">
        <v>393</v>
      </c>
      <c r="C339" s="679"/>
      <c r="D339" s="679"/>
      <c r="E339" s="679"/>
      <c r="F339" s="679"/>
      <c r="G339" s="679"/>
      <c r="H339" s="680"/>
      <c r="I339" s="200">
        <v>10.119999999999999</v>
      </c>
    </row>
    <row r="340" spans="1:9" ht="32.25" customHeight="1" x14ac:dyDescent="0.25">
      <c r="A340"/>
      <c r="B340" s="679" t="s">
        <v>191</v>
      </c>
      <c r="C340" s="679"/>
      <c r="D340" s="679"/>
      <c r="E340" s="679"/>
      <c r="F340" s="679"/>
      <c r="G340" s="679"/>
      <c r="H340" s="680"/>
      <c r="I340" s="200">
        <v>33.79</v>
      </c>
    </row>
    <row r="341" spans="1:9" ht="30.75" customHeight="1" x14ac:dyDescent="0.25">
      <c r="A341"/>
      <c r="B341" s="679" t="s">
        <v>510</v>
      </c>
      <c r="C341" s="679"/>
      <c r="D341" s="679"/>
      <c r="E341" s="679"/>
      <c r="F341" s="679"/>
      <c r="G341" s="679"/>
      <c r="H341" s="680"/>
      <c r="I341" s="200">
        <v>0.19</v>
      </c>
    </row>
    <row r="342" spans="1:9" ht="29.25" customHeight="1" x14ac:dyDescent="0.25">
      <c r="A342"/>
      <c r="B342" s="679" t="s">
        <v>193</v>
      </c>
      <c r="C342" s="679"/>
      <c r="D342" s="679"/>
      <c r="E342" s="679"/>
      <c r="F342" s="679"/>
      <c r="G342" s="679"/>
      <c r="H342" s="680"/>
      <c r="I342" s="245" t="s">
        <v>424</v>
      </c>
    </row>
    <row r="343" spans="1:9" x14ac:dyDescent="0.25">
      <c r="A343"/>
      <c r="B343" s="679" t="s">
        <v>194</v>
      </c>
      <c r="C343" s="679"/>
      <c r="D343" s="679"/>
      <c r="E343" s="679"/>
      <c r="F343" s="679"/>
      <c r="G343" s="679"/>
      <c r="H343" s="680"/>
      <c r="I343" s="200">
        <v>101.38</v>
      </c>
    </row>
    <row r="344" spans="1:9" ht="31.5" customHeight="1" x14ac:dyDescent="0.25">
      <c r="A344"/>
      <c r="B344" s="679" t="s">
        <v>394</v>
      </c>
      <c r="C344" s="679"/>
      <c r="D344" s="679"/>
      <c r="E344" s="679"/>
      <c r="F344" s="679"/>
      <c r="G344" s="679"/>
      <c r="H344" s="680"/>
      <c r="I344" s="200">
        <v>0.02</v>
      </c>
    </row>
    <row r="345" spans="1:9" x14ac:dyDescent="0.25">
      <c r="A345"/>
      <c r="B345" s="696" t="s">
        <v>385</v>
      </c>
      <c r="C345" s="696"/>
      <c r="D345" s="147"/>
      <c r="E345" s="147"/>
      <c r="F345" s="147"/>
      <c r="G345" s="147"/>
      <c r="H345" s="199"/>
      <c r="I345" s="201" t="s">
        <v>386</v>
      </c>
    </row>
    <row r="346" spans="1:9" ht="45.75" customHeight="1" x14ac:dyDescent="0.25">
      <c r="A346"/>
      <c r="B346" s="692" t="s">
        <v>395</v>
      </c>
      <c r="C346" s="692"/>
      <c r="D346" s="692"/>
      <c r="E346" s="692"/>
      <c r="F346" s="692"/>
      <c r="G346" s="692"/>
      <c r="H346" s="693"/>
      <c r="I346" s="200">
        <v>0.19</v>
      </c>
    </row>
    <row r="347" spans="1:9" ht="41.25" customHeight="1" x14ac:dyDescent="0.25">
      <c r="A347"/>
      <c r="B347" s="694" t="s">
        <v>197</v>
      </c>
      <c r="C347" s="694"/>
      <c r="D347" s="694"/>
      <c r="E347" s="694"/>
      <c r="F347" s="694"/>
      <c r="G347" s="694"/>
      <c r="H347" s="695"/>
      <c r="I347" s="200">
        <v>0.46</v>
      </c>
    </row>
    <row r="348" spans="1:9" x14ac:dyDescent="0.25">
      <c r="A348"/>
      <c r="B348" s="699" t="s">
        <v>396</v>
      </c>
      <c r="C348" s="699"/>
      <c r="D348" s="699"/>
      <c r="E348" s="699"/>
      <c r="F348" s="699"/>
      <c r="G348" s="699"/>
      <c r="H348" s="699"/>
      <c r="I348" s="200">
        <v>0.19</v>
      </c>
    </row>
    <row r="349" spans="1:9" x14ac:dyDescent="0.25">
      <c r="A349"/>
      <c r="B349" s="694" t="s">
        <v>511</v>
      </c>
      <c r="C349" s="694"/>
      <c r="D349" s="694"/>
      <c r="E349" s="694"/>
      <c r="F349" s="694"/>
      <c r="G349" s="694"/>
      <c r="H349" s="695"/>
      <c r="I349" s="200">
        <f>I353</f>
        <v>54.06</v>
      </c>
    </row>
    <row r="350" spans="1:9" x14ac:dyDescent="0.25">
      <c r="A350"/>
      <c r="B350" s="696" t="s">
        <v>385</v>
      </c>
      <c r="C350" s="696"/>
      <c r="D350" s="147"/>
      <c r="E350" s="147"/>
      <c r="F350" s="147"/>
      <c r="G350" s="147"/>
      <c r="H350" s="199"/>
      <c r="I350" s="201" t="s">
        <v>386</v>
      </c>
    </row>
    <row r="351" spans="1:9" ht="57.75" customHeight="1" x14ac:dyDescent="0.25">
      <c r="A351"/>
      <c r="B351" s="697" t="s">
        <v>397</v>
      </c>
      <c r="C351" s="697"/>
      <c r="D351" s="697"/>
      <c r="E351" s="697"/>
      <c r="F351" s="697"/>
      <c r="G351" s="697"/>
      <c r="H351" s="698"/>
      <c r="I351" s="274" t="s">
        <v>447</v>
      </c>
    </row>
    <row r="352" spans="1:9" ht="33.75" customHeight="1" x14ac:dyDescent="0.25">
      <c r="A352"/>
      <c r="B352" s="697" t="s">
        <v>199</v>
      </c>
      <c r="C352" s="697"/>
      <c r="D352" s="697"/>
      <c r="E352" s="697"/>
      <c r="F352" s="697"/>
      <c r="G352" s="697"/>
      <c r="H352" s="698"/>
      <c r="I352" s="245" t="s">
        <v>424</v>
      </c>
    </row>
    <row r="353" spans="1:9" x14ac:dyDescent="0.25">
      <c r="A353"/>
      <c r="B353" s="692" t="s">
        <v>200</v>
      </c>
      <c r="C353" s="692"/>
      <c r="D353" s="692"/>
      <c r="E353" s="692"/>
      <c r="F353" s="692"/>
      <c r="G353" s="692"/>
      <c r="H353" s="693"/>
      <c r="I353" s="200">
        <v>54.06</v>
      </c>
    </row>
    <row r="354" spans="1:9" x14ac:dyDescent="0.25">
      <c r="A354"/>
      <c r="B354" s="692" t="s">
        <v>201</v>
      </c>
      <c r="C354" s="692"/>
      <c r="D354" s="692"/>
      <c r="E354" s="692"/>
      <c r="F354" s="692"/>
      <c r="G354" s="692"/>
      <c r="H354" s="693"/>
      <c r="I354" s="200">
        <v>108.14</v>
      </c>
    </row>
    <row r="355" spans="1:9" x14ac:dyDescent="0.25">
      <c r="A355"/>
      <c r="B355" s="692" t="s">
        <v>202</v>
      </c>
      <c r="C355" s="692"/>
      <c r="D355" s="692"/>
      <c r="E355" s="692"/>
      <c r="F355" s="692"/>
      <c r="G355" s="692"/>
      <c r="H355" s="693"/>
      <c r="I355" s="200">
        <v>162.21</v>
      </c>
    </row>
    <row r="356" spans="1:9" x14ac:dyDescent="0.25">
      <c r="A356"/>
      <c r="B356" s="692" t="s">
        <v>203</v>
      </c>
      <c r="C356" s="692"/>
      <c r="D356" s="692"/>
      <c r="E356" s="692"/>
      <c r="F356" s="692"/>
      <c r="G356" s="692"/>
      <c r="H356" s="693"/>
      <c r="I356" s="200">
        <v>216.29</v>
      </c>
    </row>
    <row r="357" spans="1:9" x14ac:dyDescent="0.25">
      <c r="A357"/>
      <c r="B357" s="692" t="s">
        <v>204</v>
      </c>
      <c r="C357" s="692"/>
      <c r="D357" s="692"/>
      <c r="E357" s="692"/>
      <c r="F357" s="692"/>
      <c r="G357" s="692"/>
      <c r="H357" s="693"/>
      <c r="I357" s="200">
        <v>270.38</v>
      </c>
    </row>
    <row r="358" spans="1:9" x14ac:dyDescent="0.25">
      <c r="A358"/>
      <c r="B358" s="692" t="s">
        <v>205</v>
      </c>
      <c r="C358" s="692"/>
      <c r="D358" s="692"/>
      <c r="E358" s="692"/>
      <c r="F358" s="692"/>
      <c r="G358" s="692"/>
      <c r="H358" s="693"/>
      <c r="I358" s="200">
        <v>540.76</v>
      </c>
    </row>
    <row r="359" spans="1:9" x14ac:dyDescent="0.25">
      <c r="A359"/>
      <c r="B359" s="692" t="s">
        <v>206</v>
      </c>
      <c r="C359" s="692"/>
      <c r="D359" s="692"/>
      <c r="E359" s="692"/>
      <c r="F359" s="692"/>
      <c r="G359" s="692"/>
      <c r="H359" s="693"/>
      <c r="I359" s="200">
        <v>811.14</v>
      </c>
    </row>
    <row r="360" spans="1:9" x14ac:dyDescent="0.25">
      <c r="A360"/>
      <c r="B360" s="692" t="s">
        <v>207</v>
      </c>
      <c r="C360" s="692"/>
      <c r="D360" s="692"/>
      <c r="E360" s="692"/>
      <c r="F360" s="692"/>
      <c r="G360" s="692"/>
      <c r="H360" s="693"/>
      <c r="I360" s="200">
        <v>1081.52</v>
      </c>
    </row>
    <row r="361" spans="1:9" x14ac:dyDescent="0.25">
      <c r="A361"/>
      <c r="B361" s="692" t="s">
        <v>208</v>
      </c>
      <c r="C361" s="692"/>
      <c r="D361" s="692"/>
      <c r="E361" s="692"/>
      <c r="F361" s="692"/>
      <c r="G361" s="692"/>
      <c r="H361" s="693"/>
      <c r="I361" s="200">
        <v>1351.9</v>
      </c>
    </row>
    <row r="362" spans="1:9" x14ac:dyDescent="0.25">
      <c r="A362"/>
      <c r="B362" s="692" t="s">
        <v>209</v>
      </c>
      <c r="C362" s="692"/>
      <c r="D362" s="692"/>
      <c r="E362" s="692"/>
      <c r="F362" s="692"/>
      <c r="G362" s="692"/>
      <c r="H362" s="693"/>
      <c r="I362" s="200">
        <v>1622.28</v>
      </c>
    </row>
    <row r="363" spans="1:9" x14ac:dyDescent="0.25">
      <c r="A363"/>
      <c r="B363" s="692" t="s">
        <v>210</v>
      </c>
      <c r="C363" s="692"/>
      <c r="D363" s="692"/>
      <c r="E363" s="692"/>
      <c r="F363" s="692"/>
      <c r="G363" s="692"/>
      <c r="H363" s="693"/>
      <c r="I363" s="200">
        <v>1892.66</v>
      </c>
    </row>
    <row r="364" spans="1:9" x14ac:dyDescent="0.25">
      <c r="A364"/>
      <c r="B364" s="692" t="s">
        <v>211</v>
      </c>
      <c r="C364" s="692"/>
      <c r="D364" s="692"/>
      <c r="E364" s="692"/>
      <c r="F364" s="692"/>
      <c r="G364" s="692"/>
      <c r="H364" s="693"/>
      <c r="I364" s="200">
        <v>2163.04</v>
      </c>
    </row>
    <row r="365" spans="1:9" x14ac:dyDescent="0.25">
      <c r="A365"/>
      <c r="B365" s="692" t="s">
        <v>212</v>
      </c>
      <c r="C365" s="692"/>
      <c r="D365" s="692"/>
      <c r="E365" s="692"/>
      <c r="F365" s="692"/>
      <c r="G365" s="692"/>
      <c r="H365" s="693"/>
      <c r="I365" s="202">
        <v>2703.81</v>
      </c>
    </row>
    <row r="366" spans="1:9" ht="8.25" customHeight="1" x14ac:dyDescent="0.25">
      <c r="A366"/>
      <c r="B366" s="211"/>
      <c r="C366" s="211"/>
      <c r="D366" s="211"/>
      <c r="E366" s="211"/>
      <c r="F366" s="211"/>
      <c r="G366" s="211"/>
      <c r="H366" s="211"/>
      <c r="I366" s="245"/>
    </row>
    <row r="367" spans="1:9" ht="36.75" customHeight="1" x14ac:dyDescent="0.25">
      <c r="A367"/>
      <c r="B367" s="679" t="s">
        <v>452</v>
      </c>
      <c r="C367" s="679"/>
      <c r="D367" s="679"/>
      <c r="E367" s="679"/>
      <c r="F367" s="679"/>
      <c r="G367" s="679"/>
      <c r="H367" s="680"/>
      <c r="I367" s="245" t="s">
        <v>424</v>
      </c>
    </row>
    <row r="368" spans="1:9" x14ac:dyDescent="0.25">
      <c r="A368"/>
      <c r="B368" s="679" t="s">
        <v>453</v>
      </c>
      <c r="C368" s="679"/>
      <c r="D368" s="679"/>
      <c r="E368" s="679"/>
      <c r="F368" s="679"/>
      <c r="G368" s="679"/>
      <c r="H368" s="680"/>
      <c r="I368" s="245" t="s">
        <v>424</v>
      </c>
    </row>
    <row r="369" spans="1:9" ht="15.75" thickBot="1" x14ac:dyDescent="0.3">
      <c r="A369"/>
      <c r="B369" s="681"/>
      <c r="C369" s="681"/>
      <c r="D369" s="681"/>
      <c r="E369" s="681"/>
      <c r="F369" s="681"/>
      <c r="G369" s="681"/>
      <c r="H369" s="681"/>
      <c r="I369" s="212"/>
    </row>
    <row r="370" spans="1:9" x14ac:dyDescent="0.25">
      <c r="A370"/>
      <c r="B370" s="682" t="s">
        <v>483</v>
      </c>
      <c r="C370" s="683"/>
      <c r="D370" s="683"/>
      <c r="E370" s="683"/>
      <c r="F370" s="683"/>
      <c r="G370" s="683"/>
      <c r="H370" s="683"/>
      <c r="I370" s="684"/>
    </row>
    <row r="371" spans="1:9" ht="15.75" thickBot="1" x14ac:dyDescent="0.3">
      <c r="A371"/>
      <c r="B371" s="685" t="s">
        <v>398</v>
      </c>
      <c r="C371" s="686"/>
      <c r="D371" s="686"/>
      <c r="E371" s="686"/>
      <c r="F371" s="686"/>
      <c r="G371" s="686"/>
      <c r="H371" s="686"/>
      <c r="I371" s="687"/>
    </row>
    <row r="372" spans="1:9" x14ac:dyDescent="0.25">
      <c r="A372"/>
      <c r="B372" s="688" t="s">
        <v>1</v>
      </c>
      <c r="C372" s="688"/>
      <c r="D372" s="688"/>
      <c r="E372" s="688"/>
      <c r="F372" s="688"/>
      <c r="G372" s="688"/>
      <c r="H372" s="689"/>
      <c r="I372" s="144" t="s">
        <v>264</v>
      </c>
    </row>
    <row r="373" spans="1:9" x14ac:dyDescent="0.25">
      <c r="B373" s="213" t="s">
        <v>399</v>
      </c>
      <c r="C373" s="213"/>
      <c r="D373" s="213"/>
      <c r="E373" s="213"/>
      <c r="F373" s="213"/>
      <c r="G373" s="213"/>
      <c r="H373" s="214"/>
      <c r="I373" s="170">
        <f>I386</f>
        <v>42.28</v>
      </c>
    </row>
    <row r="374" spans="1:9" x14ac:dyDescent="0.25">
      <c r="B374" s="677" t="s">
        <v>400</v>
      </c>
      <c r="C374" s="677"/>
      <c r="D374" s="677"/>
      <c r="E374" s="677"/>
      <c r="F374" s="677"/>
      <c r="G374" s="677"/>
      <c r="H374" s="678"/>
      <c r="I374" s="170">
        <f>I388</f>
        <v>10.259999999999998</v>
      </c>
    </row>
    <row r="375" spans="1:9" x14ac:dyDescent="0.25">
      <c r="B375" s="673" t="s">
        <v>484</v>
      </c>
      <c r="C375" s="673"/>
      <c r="D375" s="673"/>
      <c r="E375" s="673"/>
      <c r="F375" s="673"/>
      <c r="G375" s="673"/>
      <c r="H375" s="674"/>
      <c r="I375" s="170">
        <f>I390</f>
        <v>1.9200000000000002</v>
      </c>
    </row>
    <row r="376" spans="1:9" x14ac:dyDescent="0.25">
      <c r="B376" s="673" t="s">
        <v>401</v>
      </c>
      <c r="C376" s="673"/>
      <c r="D376" s="673"/>
      <c r="E376" s="673"/>
      <c r="F376" s="673"/>
      <c r="G376" s="673"/>
      <c r="H376" s="674"/>
      <c r="I376" s="246">
        <v>0.2</v>
      </c>
    </row>
    <row r="377" spans="1:9" x14ac:dyDescent="0.25">
      <c r="B377" s="673" t="s">
        <v>427</v>
      </c>
      <c r="C377" s="673"/>
      <c r="D377" s="673"/>
      <c r="E377" s="673"/>
      <c r="F377" s="673"/>
      <c r="G377" s="673"/>
      <c r="H377" s="674"/>
      <c r="I377" s="246">
        <v>0.05</v>
      </c>
    </row>
    <row r="378" spans="1:9" x14ac:dyDescent="0.25">
      <c r="B378" s="675" t="s">
        <v>636</v>
      </c>
      <c r="C378" s="675"/>
      <c r="D378" s="675"/>
      <c r="E378" s="675"/>
      <c r="F378" s="675"/>
      <c r="G378" s="675"/>
      <c r="H378" s="164"/>
      <c r="I378" s="246">
        <v>0.06</v>
      </c>
    </row>
    <row r="379" spans="1:9" ht="17.25" customHeight="1" x14ac:dyDescent="0.25">
      <c r="B379" s="675" t="s">
        <v>450</v>
      </c>
      <c r="C379" s="675"/>
      <c r="D379" s="216"/>
      <c r="E379" s="216"/>
      <c r="F379" s="216"/>
      <c r="G379" s="216"/>
      <c r="H379" s="164"/>
      <c r="I379" s="246">
        <v>0.02</v>
      </c>
    </row>
    <row r="380" spans="1:9" x14ac:dyDescent="0.25">
      <c r="B380" s="675" t="s">
        <v>402</v>
      </c>
      <c r="C380" s="675"/>
      <c r="D380" s="216"/>
      <c r="E380" s="216"/>
      <c r="F380" s="216"/>
      <c r="G380" s="216"/>
      <c r="H380" s="164"/>
      <c r="I380" s="246">
        <v>0.03</v>
      </c>
    </row>
    <row r="381" spans="1:9" x14ac:dyDescent="0.25">
      <c r="B381" s="675" t="s">
        <v>426</v>
      </c>
      <c r="C381" s="675"/>
      <c r="D381" s="675"/>
      <c r="E381" s="216"/>
      <c r="F381" s="216"/>
      <c r="G381" s="216"/>
      <c r="H381" s="164"/>
      <c r="I381" s="215">
        <v>32.57</v>
      </c>
    </row>
    <row r="382" spans="1:9" x14ac:dyDescent="0.25">
      <c r="B382" s="675" t="s">
        <v>403</v>
      </c>
      <c r="C382" s="675"/>
      <c r="D382" s="675"/>
      <c r="E382" s="216"/>
      <c r="F382" s="216"/>
      <c r="G382" s="216"/>
      <c r="H382" s="164"/>
      <c r="I382" s="215">
        <v>2.87</v>
      </c>
    </row>
    <row r="383" spans="1:9" x14ac:dyDescent="0.25">
      <c r="A383" s="217"/>
      <c r="B383" s="676"/>
      <c r="C383" s="676"/>
      <c r="D383" s="676"/>
      <c r="E383" s="676"/>
      <c r="F383" s="676"/>
      <c r="G383" s="676"/>
      <c r="H383" s="676"/>
      <c r="I383" s="218"/>
    </row>
    <row r="384" spans="1:9" x14ac:dyDescent="0.25">
      <c r="A384"/>
      <c r="B384" s="690" t="s">
        <v>404</v>
      </c>
      <c r="C384" s="690"/>
      <c r="D384" s="690"/>
      <c r="E384" s="690"/>
      <c r="F384" s="690"/>
      <c r="G384" s="690"/>
      <c r="H384" s="690"/>
      <c r="I384" s="691" t="s">
        <v>7</v>
      </c>
    </row>
    <row r="385" spans="1:9" s="461" customFormat="1" ht="11.25" x14ac:dyDescent="0.2">
      <c r="B385" s="219" t="s">
        <v>405</v>
      </c>
      <c r="C385" s="220" t="s">
        <v>45</v>
      </c>
      <c r="D385" s="222">
        <v>0.02</v>
      </c>
      <c r="E385" s="221">
        <v>0.2</v>
      </c>
      <c r="F385" s="222">
        <v>0.05</v>
      </c>
      <c r="G385" s="222">
        <v>0.05</v>
      </c>
      <c r="H385" s="222">
        <v>0.06</v>
      </c>
      <c r="I385" s="691"/>
    </row>
    <row r="386" spans="1:9" ht="15.75" x14ac:dyDescent="0.25">
      <c r="B386" s="223">
        <v>30.65</v>
      </c>
      <c r="C386" s="224">
        <f>B386</f>
        <v>30.65</v>
      </c>
      <c r="D386" s="225">
        <f>TRUNC(C386*0.02,2)</f>
        <v>0.61</v>
      </c>
      <c r="E386" s="225">
        <f>TRUNC(C386*0.2,2)</f>
        <v>6.13</v>
      </c>
      <c r="F386" s="224">
        <f>TRUNC(SUM(C386)*0.05,2)</f>
        <v>1.53</v>
      </c>
      <c r="G386" s="224">
        <f>F386</f>
        <v>1.53</v>
      </c>
      <c r="H386" s="224">
        <f>TRUNC(C386*$I$378,2)</f>
        <v>1.83</v>
      </c>
      <c r="I386" s="272">
        <f>SUM(C386:H386)</f>
        <v>42.28</v>
      </c>
    </row>
    <row r="387" spans="1:9" x14ac:dyDescent="0.25">
      <c r="B387" s="226" t="s">
        <v>406</v>
      </c>
      <c r="C387" s="668" t="s">
        <v>451</v>
      </c>
      <c r="D387" s="669"/>
      <c r="E387" s="669"/>
      <c r="F387" s="669"/>
      <c r="G387" s="669"/>
      <c r="H387" s="669"/>
      <c r="I387" s="273"/>
    </row>
    <row r="388" spans="1:9" ht="15.75" x14ac:dyDescent="0.25">
      <c r="B388" s="227">
        <v>7.45</v>
      </c>
      <c r="C388" s="228">
        <f>B388</f>
        <v>7.45</v>
      </c>
      <c r="D388" s="225">
        <f>TRUNC(C388*0.02,2)</f>
        <v>0.14000000000000001</v>
      </c>
      <c r="E388" s="225">
        <f>TRUNC(C388*0.2,2)</f>
        <v>1.49</v>
      </c>
      <c r="F388" s="224">
        <f>TRUNC(SUM(C388)*0.05,2)</f>
        <v>0.37</v>
      </c>
      <c r="G388" s="224">
        <f>F388</f>
        <v>0.37</v>
      </c>
      <c r="H388" s="224">
        <f>TRUNC(C388*$I$378,2)</f>
        <v>0.44</v>
      </c>
      <c r="I388" s="272">
        <f>SUM(C388:H388)</f>
        <v>10.259999999999998</v>
      </c>
    </row>
    <row r="389" spans="1:9" x14ac:dyDescent="0.25">
      <c r="B389" s="219" t="s">
        <v>407</v>
      </c>
      <c r="C389" s="670" t="s">
        <v>408</v>
      </c>
      <c r="D389" s="671"/>
      <c r="E389" s="671"/>
      <c r="F389" s="671"/>
      <c r="G389" s="671"/>
      <c r="H389" s="672"/>
      <c r="I389" s="229" t="s">
        <v>7</v>
      </c>
    </row>
    <row r="390" spans="1:9" ht="15.75" x14ac:dyDescent="0.25">
      <c r="B390" s="230">
        <v>1.4</v>
      </c>
      <c r="C390" s="224">
        <f>B390</f>
        <v>1.4</v>
      </c>
      <c r="D390" s="225">
        <f>TRUNC(C390*0.02,2)</f>
        <v>0.02</v>
      </c>
      <c r="E390" s="225">
        <f>TRUNC(C390*0.2,2)</f>
        <v>0.28000000000000003</v>
      </c>
      <c r="F390" s="224">
        <f>TRUNC(SUM(C390)*0.05,2)</f>
        <v>7.0000000000000007E-2</v>
      </c>
      <c r="G390" s="224">
        <f>F390</f>
        <v>7.0000000000000007E-2</v>
      </c>
      <c r="H390" s="224">
        <f>TRUNC(C390*$I$378,2)</f>
        <v>0.08</v>
      </c>
      <c r="I390" s="272">
        <f>SUM(C390:H390)</f>
        <v>1.9200000000000002</v>
      </c>
    </row>
    <row r="391" spans="1:9" ht="28.5" customHeight="1" x14ac:dyDescent="0.25">
      <c r="A391"/>
      <c r="B391" s="219" t="s">
        <v>524</v>
      </c>
      <c r="C391" s="739" t="s">
        <v>525</v>
      </c>
      <c r="D391" s="740"/>
      <c r="E391" s="740"/>
      <c r="F391" s="740"/>
      <c r="G391" s="740"/>
      <c r="H391" s="740"/>
      <c r="I391" s="741"/>
    </row>
    <row r="392" spans="1:9" ht="15.75" x14ac:dyDescent="0.25">
      <c r="B392" s="230">
        <v>1.29</v>
      </c>
      <c r="C392" s="465">
        <f>B392</f>
        <v>1.29</v>
      </c>
      <c r="D392" s="742" t="s">
        <v>527</v>
      </c>
      <c r="E392" s="743"/>
      <c r="F392" s="743"/>
      <c r="G392" s="743"/>
      <c r="H392" s="744"/>
      <c r="I392" s="464"/>
    </row>
    <row r="393" spans="1:9" x14ac:dyDescent="0.25">
      <c r="A393"/>
    </row>
    <row r="394" spans="1:9" x14ac:dyDescent="0.25">
      <c r="A394"/>
    </row>
    <row r="395" spans="1:9" x14ac:dyDescent="0.25">
      <c r="A395"/>
    </row>
  </sheetData>
  <mergeCells count="199">
    <mergeCell ref="C391:I391"/>
    <mergeCell ref="D392:H392"/>
    <mergeCell ref="B1:I1"/>
    <mergeCell ref="B2:I2"/>
    <mergeCell ref="B3:I3"/>
    <mergeCell ref="B4:H4"/>
    <mergeCell ref="B5:H5"/>
    <mergeCell ref="B6:H6"/>
    <mergeCell ref="B26:C26"/>
    <mergeCell ref="F27:G27"/>
    <mergeCell ref="F26:G26"/>
    <mergeCell ref="B13:H13"/>
    <mergeCell ref="B14:H14"/>
    <mergeCell ref="B15:H15"/>
    <mergeCell ref="B16:H16"/>
    <mergeCell ref="B17:H17"/>
    <mergeCell ref="B18:H18"/>
    <mergeCell ref="B7:H7"/>
    <mergeCell ref="B8:H8"/>
    <mergeCell ref="B9:H9"/>
    <mergeCell ref="B10:H10"/>
    <mergeCell ref="B11:H11"/>
    <mergeCell ref="B12:H12"/>
    <mergeCell ref="B27:C27"/>
    <mergeCell ref="B28:C28"/>
    <mergeCell ref="B29:C29"/>
    <mergeCell ref="B30:C30"/>
    <mergeCell ref="B31:C31"/>
    <mergeCell ref="B32:C32"/>
    <mergeCell ref="B20:I20"/>
    <mergeCell ref="B21:I21"/>
    <mergeCell ref="B22:H22"/>
    <mergeCell ref="B23:H23"/>
    <mergeCell ref="B24:H24"/>
    <mergeCell ref="B25:H25"/>
    <mergeCell ref="F28:G28"/>
    <mergeCell ref="F29:G29"/>
    <mergeCell ref="F30:G30"/>
    <mergeCell ref="F31:G31"/>
    <mergeCell ref="F32:G32"/>
    <mergeCell ref="B40:H40"/>
    <mergeCell ref="B41:H41"/>
    <mergeCell ref="B42:H42"/>
    <mergeCell ref="B43:H43"/>
    <mergeCell ref="B44:H44"/>
    <mergeCell ref="B45:H45"/>
    <mergeCell ref="B33:C33"/>
    <mergeCell ref="B35:H35"/>
    <mergeCell ref="B36:H36"/>
    <mergeCell ref="B37:H37"/>
    <mergeCell ref="B38:H38"/>
    <mergeCell ref="B39:H39"/>
    <mergeCell ref="F33:G33"/>
    <mergeCell ref="B52:I52"/>
    <mergeCell ref="B53:H53"/>
    <mergeCell ref="B54:H54"/>
    <mergeCell ref="B55:H55"/>
    <mergeCell ref="B56:H56"/>
    <mergeCell ref="B46:H46"/>
    <mergeCell ref="B47:H47"/>
    <mergeCell ref="B48:H48"/>
    <mergeCell ref="B49:H49"/>
    <mergeCell ref="B51:I51"/>
    <mergeCell ref="B99:H99"/>
    <mergeCell ref="B100:H100"/>
    <mergeCell ref="B101:H101"/>
    <mergeCell ref="B102:H102"/>
    <mergeCell ref="B103:H103"/>
    <mergeCell ref="B104:H104"/>
    <mergeCell ref="B71:I71"/>
    <mergeCell ref="B72:I72"/>
    <mergeCell ref="B82:I82"/>
    <mergeCell ref="B83:I83"/>
    <mergeCell ref="B97:I97"/>
    <mergeCell ref="B98:I98"/>
    <mergeCell ref="B111:H111"/>
    <mergeCell ref="B112:H112"/>
    <mergeCell ref="B113:H113"/>
    <mergeCell ref="B114:H114"/>
    <mergeCell ref="B115:H115"/>
    <mergeCell ref="B116:H116"/>
    <mergeCell ref="B105:H105"/>
    <mergeCell ref="B106:H106"/>
    <mergeCell ref="B107:H107"/>
    <mergeCell ref="B108:H108"/>
    <mergeCell ref="B109:H109"/>
    <mergeCell ref="B110:H110"/>
    <mergeCell ref="B123:H123"/>
    <mergeCell ref="B124:H124"/>
    <mergeCell ref="B125:H125"/>
    <mergeCell ref="B126:H126"/>
    <mergeCell ref="B127:H127"/>
    <mergeCell ref="B128:H128"/>
    <mergeCell ref="B117:H117"/>
    <mergeCell ref="B118:H118"/>
    <mergeCell ref="B119:H119"/>
    <mergeCell ref="B120:H120"/>
    <mergeCell ref="B121:H121"/>
    <mergeCell ref="B122:H122"/>
    <mergeCell ref="B135:G135"/>
    <mergeCell ref="B137:I137"/>
    <mergeCell ref="B138:I138"/>
    <mergeCell ref="B139:H139"/>
    <mergeCell ref="B129:H129"/>
    <mergeCell ref="B130:H130"/>
    <mergeCell ref="B131:G131"/>
    <mergeCell ref="B132:G132"/>
    <mergeCell ref="B133:G133"/>
    <mergeCell ref="B134:G134"/>
    <mergeCell ref="B206:H206"/>
    <mergeCell ref="B207:H207"/>
    <mergeCell ref="B209:I209"/>
    <mergeCell ref="B210:I210"/>
    <mergeCell ref="B211:H211"/>
    <mergeCell ref="B140:H140"/>
    <mergeCell ref="B163:H163"/>
    <mergeCell ref="B165:C165"/>
    <mergeCell ref="B172:E172"/>
    <mergeCell ref="B259:H259"/>
    <mergeCell ref="B260:H260"/>
    <mergeCell ref="B261:H261"/>
    <mergeCell ref="B262:H262"/>
    <mergeCell ref="B263:H263"/>
    <mergeCell ref="B264:H264"/>
    <mergeCell ref="B212:H212"/>
    <mergeCell ref="B233:H233"/>
    <mergeCell ref="B255:H255"/>
    <mergeCell ref="B256:H256"/>
    <mergeCell ref="B257:H257"/>
    <mergeCell ref="B258:H258"/>
    <mergeCell ref="B326:C326"/>
    <mergeCell ref="B327:H327"/>
    <mergeCell ref="B328:C328"/>
    <mergeCell ref="B329:H329"/>
    <mergeCell ref="B330:C330"/>
    <mergeCell ref="B265:H265"/>
    <mergeCell ref="B294:H294"/>
    <mergeCell ref="B295:I295"/>
    <mergeCell ref="B296:I296"/>
    <mergeCell ref="B297:H297"/>
    <mergeCell ref="B298:H298"/>
    <mergeCell ref="I298:I300"/>
    <mergeCell ref="B299:H299"/>
    <mergeCell ref="B266:H266"/>
    <mergeCell ref="B337:H337"/>
    <mergeCell ref="B338:H338"/>
    <mergeCell ref="B339:H339"/>
    <mergeCell ref="B340:H340"/>
    <mergeCell ref="B341:H341"/>
    <mergeCell ref="B342:H342"/>
    <mergeCell ref="B331:H331"/>
    <mergeCell ref="B332:H332"/>
    <mergeCell ref="B333:C333"/>
    <mergeCell ref="B334:H334"/>
    <mergeCell ref="B335:C335"/>
    <mergeCell ref="B336:H336"/>
    <mergeCell ref="B349:H349"/>
    <mergeCell ref="B350:C350"/>
    <mergeCell ref="B351:H351"/>
    <mergeCell ref="B352:H352"/>
    <mergeCell ref="B353:H353"/>
    <mergeCell ref="B354:H354"/>
    <mergeCell ref="B343:H343"/>
    <mergeCell ref="B344:H344"/>
    <mergeCell ref="B345:C345"/>
    <mergeCell ref="B346:H346"/>
    <mergeCell ref="B347:H347"/>
    <mergeCell ref="B348:H348"/>
    <mergeCell ref="B361:H361"/>
    <mergeCell ref="B362:H362"/>
    <mergeCell ref="B363:H363"/>
    <mergeCell ref="B364:H364"/>
    <mergeCell ref="B365:H365"/>
    <mergeCell ref="B367:H367"/>
    <mergeCell ref="B355:H355"/>
    <mergeCell ref="B356:H356"/>
    <mergeCell ref="B357:H357"/>
    <mergeCell ref="B358:H358"/>
    <mergeCell ref="B359:H359"/>
    <mergeCell ref="B360:H360"/>
    <mergeCell ref="B374:H374"/>
    <mergeCell ref="B375:H375"/>
    <mergeCell ref="B376:H376"/>
    <mergeCell ref="B368:H368"/>
    <mergeCell ref="B369:H369"/>
    <mergeCell ref="B370:I370"/>
    <mergeCell ref="B371:I371"/>
    <mergeCell ref="B372:H372"/>
    <mergeCell ref="B384:H384"/>
    <mergeCell ref="I384:I385"/>
    <mergeCell ref="C387:H387"/>
    <mergeCell ref="C389:H389"/>
    <mergeCell ref="B377:H377"/>
    <mergeCell ref="B378:G378"/>
    <mergeCell ref="B380:C380"/>
    <mergeCell ref="B381:D381"/>
    <mergeCell ref="B382:D382"/>
    <mergeCell ref="B383:H383"/>
    <mergeCell ref="B379:C379"/>
  </mergeCells>
  <printOptions horizontalCentered="1"/>
  <pageMargins left="0.11811023622047245" right="0.11811023622047245" top="0.59055118110236227" bottom="0.59055118110236227" header="0.31496062992125984" footer="0.31496062992125984"/>
  <pageSetup paperSize="9" scale="8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24"/>
  <sheetViews>
    <sheetView showGridLines="0" zoomScale="80" zoomScaleNormal="80" workbookViewId="0">
      <pane ySplit="2" topLeftCell="A63" activePane="bottomLeft" state="frozen"/>
      <selection activeCell="P60" sqref="P60"/>
      <selection pane="bottomLeft" activeCell="P60" sqref="P60"/>
    </sheetView>
  </sheetViews>
  <sheetFormatPr defaultRowHeight="12" x14ac:dyDescent="0.2"/>
  <cols>
    <col min="1" max="1" width="8" style="558" customWidth="1"/>
    <col min="2" max="2" width="17.28515625" style="558" customWidth="1"/>
    <col min="3" max="3" width="4.85546875" style="558" customWidth="1"/>
    <col min="4" max="4" width="9.42578125" style="558" customWidth="1"/>
    <col min="5" max="5" width="16.85546875" style="558" customWidth="1"/>
    <col min="6" max="6" width="26.28515625" style="558" customWidth="1"/>
    <col min="7" max="7" width="28.7109375" style="558" customWidth="1"/>
    <col min="8" max="16384" width="9.140625" style="558"/>
  </cols>
  <sheetData>
    <row r="1" spans="1:7" ht="30.75" customHeight="1" thickBot="1" x14ac:dyDescent="0.25">
      <c r="B1" s="1145" t="s">
        <v>610</v>
      </c>
      <c r="C1" s="1146"/>
      <c r="D1" s="1146"/>
      <c r="E1" s="1146"/>
      <c r="F1" s="1147"/>
      <c r="G1" s="617" t="str">
        <f>Resumo!F3</f>
        <v>PORTARIA n.º 423/2025</v>
      </c>
    </row>
    <row r="2" spans="1:7" s="542" customFormat="1" ht="15" x14ac:dyDescent="0.2">
      <c r="A2" s="618"/>
      <c r="B2" s="1148" t="s">
        <v>1</v>
      </c>
      <c r="C2" s="1149"/>
      <c r="D2" s="1149"/>
      <c r="E2" s="1149"/>
      <c r="F2" s="1150"/>
      <c r="G2" s="619" t="s">
        <v>611</v>
      </c>
    </row>
    <row r="3" spans="1:7" s="542" customFormat="1" ht="33" customHeight="1" x14ac:dyDescent="0.2">
      <c r="A3" s="618"/>
      <c r="B3" s="1151" t="s">
        <v>612</v>
      </c>
      <c r="C3" s="1151"/>
      <c r="D3" s="1151"/>
      <c r="E3" s="1151"/>
      <c r="F3" s="1151"/>
      <c r="G3" s="1151"/>
    </row>
    <row r="4" spans="1:7" s="542" customFormat="1" ht="18" customHeight="1" x14ac:dyDescent="0.2">
      <c r="A4" s="618"/>
      <c r="B4" s="1152" t="s">
        <v>46</v>
      </c>
      <c r="C4" s="1153"/>
      <c r="D4" s="1153"/>
      <c r="E4" s="1153"/>
      <c r="F4" s="1154"/>
      <c r="G4" s="620"/>
    </row>
    <row r="5" spans="1:7" s="542" customFormat="1" ht="16.5" customHeight="1" x14ac:dyDescent="0.2">
      <c r="A5" s="618"/>
      <c r="B5" s="1155" t="s">
        <v>47</v>
      </c>
      <c r="C5" s="1156"/>
      <c r="D5" s="1156"/>
      <c r="E5" s="1156"/>
      <c r="F5" s="1157"/>
      <c r="G5" s="621">
        <f>'R G I'!S6</f>
        <v>329.2</v>
      </c>
    </row>
    <row r="6" spans="1:7" s="542" customFormat="1" ht="24.75" customHeight="1" x14ac:dyDescent="0.2">
      <c r="A6" s="618"/>
      <c r="B6" s="1142" t="s">
        <v>613</v>
      </c>
      <c r="C6" s="1143"/>
      <c r="D6" s="1143"/>
      <c r="E6" s="1143"/>
      <c r="F6" s="1143"/>
      <c r="G6" s="1144"/>
    </row>
    <row r="7" spans="1:7" ht="12.75" x14ac:dyDescent="0.2">
      <c r="A7" s="622"/>
      <c r="B7" s="623">
        <f>MATRIZ!B58</f>
        <v>0.01</v>
      </c>
      <c r="C7" s="624"/>
      <c r="D7" s="624" t="s">
        <v>11</v>
      </c>
      <c r="E7" s="624"/>
      <c r="F7" s="625">
        <f>MATRIZ!H58</f>
        <v>18435.099999999999</v>
      </c>
      <c r="G7" s="626">
        <f>'R G I'!S9</f>
        <v>452.19000000000005</v>
      </c>
    </row>
    <row r="8" spans="1:7" ht="12.75" x14ac:dyDescent="0.2">
      <c r="A8" s="622"/>
      <c r="B8" s="623">
        <f>MATRIZ!B59</f>
        <v>18435.109999999997</v>
      </c>
      <c r="C8" s="627"/>
      <c r="D8" s="627" t="s">
        <v>11</v>
      </c>
      <c r="E8" s="627"/>
      <c r="F8" s="625">
        <f>MATRIZ!H59</f>
        <v>36870.230000000003</v>
      </c>
      <c r="G8" s="626">
        <f>'R G I'!S10</f>
        <v>715.63</v>
      </c>
    </row>
    <row r="9" spans="1:7" ht="12.75" x14ac:dyDescent="0.2">
      <c r="A9" s="622"/>
      <c r="B9" s="623">
        <f>MATRIZ!B60</f>
        <v>36870.240000000005</v>
      </c>
      <c r="C9" s="627"/>
      <c r="D9" s="627" t="s">
        <v>11</v>
      </c>
      <c r="E9" s="627"/>
      <c r="F9" s="625">
        <f>MATRIZ!H60</f>
        <v>55305.35</v>
      </c>
      <c r="G9" s="626">
        <f>'R G I'!S11</f>
        <v>979.17</v>
      </c>
    </row>
    <row r="10" spans="1:7" ht="12.75" x14ac:dyDescent="0.2">
      <c r="A10" s="622"/>
      <c r="B10" s="623">
        <f>MATRIZ!B61</f>
        <v>55305.36</v>
      </c>
      <c r="C10" s="627"/>
      <c r="D10" s="627" t="s">
        <v>11</v>
      </c>
      <c r="E10" s="627"/>
      <c r="F10" s="625">
        <f>MATRIZ!H61</f>
        <v>73740.490000000005</v>
      </c>
      <c r="G10" s="626">
        <f>'R G I'!S12</f>
        <v>1189.8799999999999</v>
      </c>
    </row>
    <row r="11" spans="1:7" ht="12.75" x14ac:dyDescent="0.2">
      <c r="A11" s="622"/>
      <c r="B11" s="623">
        <f>MATRIZ!B62</f>
        <v>73740.5</v>
      </c>
      <c r="C11" s="627"/>
      <c r="D11" s="627" t="s">
        <v>11</v>
      </c>
      <c r="E11" s="627"/>
      <c r="F11" s="625">
        <f>MATRIZ!H62</f>
        <v>98320.639999999999</v>
      </c>
      <c r="G11" s="626">
        <f>'R G I'!S13</f>
        <v>2071.6699999999996</v>
      </c>
    </row>
    <row r="12" spans="1:7" ht="12.75" x14ac:dyDescent="0.2">
      <c r="A12" s="622"/>
      <c r="B12" s="623">
        <f>MATRIZ!B63</f>
        <v>98320.65</v>
      </c>
      <c r="C12" s="627"/>
      <c r="D12" s="627" t="s">
        <v>11</v>
      </c>
      <c r="E12" s="627"/>
      <c r="F12" s="625">
        <f>MATRIZ!H63</f>
        <v>122900.81</v>
      </c>
      <c r="G12" s="626">
        <f>'R G I'!S14</f>
        <v>2437.0299999999997</v>
      </c>
    </row>
    <row r="13" spans="1:7" ht="12.75" x14ac:dyDescent="0.2">
      <c r="A13" s="622"/>
      <c r="B13" s="623">
        <f>MATRIZ!B64</f>
        <v>122900.81999999999</v>
      </c>
      <c r="C13" s="627"/>
      <c r="D13" s="627" t="s">
        <v>11</v>
      </c>
      <c r="E13" s="627"/>
      <c r="F13" s="625">
        <f>MATRIZ!H64</f>
        <v>245801.64</v>
      </c>
      <c r="G13" s="626">
        <f>'R G I'!S15</f>
        <v>3280.0699999999993</v>
      </c>
    </row>
    <row r="14" spans="1:7" ht="12.75" x14ac:dyDescent="0.2">
      <c r="A14" s="622"/>
      <c r="B14" s="623">
        <f>MATRIZ!B65</f>
        <v>245801.65000000002</v>
      </c>
      <c r="C14" s="627"/>
      <c r="D14" s="627" t="s">
        <v>11</v>
      </c>
      <c r="E14" s="627"/>
      <c r="F14" s="625">
        <f>MATRIZ!H65</f>
        <v>491603.3</v>
      </c>
      <c r="G14" s="626">
        <f>'R G I'!S16</f>
        <v>3526.0499999999993</v>
      </c>
    </row>
    <row r="15" spans="1:7" s="542" customFormat="1" ht="12.75" customHeight="1" x14ac:dyDescent="0.2">
      <c r="A15" s="622"/>
      <c r="B15" s="1158" t="s">
        <v>643</v>
      </c>
      <c r="C15" s="1159"/>
      <c r="D15" s="1159"/>
      <c r="E15" s="1159"/>
      <c r="F15" s="1160"/>
      <c r="G15" s="626">
        <f>'R G I'!S17</f>
        <v>311.47000000000003</v>
      </c>
    </row>
    <row r="16" spans="1:7" s="542" customFormat="1" ht="12.75" customHeight="1" x14ac:dyDescent="0.2">
      <c r="A16" s="622"/>
      <c r="B16" s="628"/>
      <c r="C16" s="629"/>
      <c r="D16" s="629"/>
      <c r="E16" s="629"/>
      <c r="F16" s="629"/>
      <c r="G16" s="630"/>
    </row>
    <row r="17" spans="1:7" s="542" customFormat="1" ht="22.5" customHeight="1" x14ac:dyDescent="0.2">
      <c r="A17" s="618"/>
      <c r="B17" s="1155" t="s">
        <v>614</v>
      </c>
      <c r="C17" s="1156"/>
      <c r="D17" s="1156"/>
      <c r="E17" s="1156"/>
      <c r="F17" s="1156"/>
      <c r="G17" s="1161"/>
    </row>
    <row r="18" spans="1:7" s="542" customFormat="1" ht="12" customHeight="1" x14ac:dyDescent="0.2">
      <c r="A18" s="618"/>
      <c r="B18" s="623">
        <f>B7</f>
        <v>0.01</v>
      </c>
      <c r="C18" s="631"/>
      <c r="D18" s="631" t="s">
        <v>11</v>
      </c>
      <c r="E18" s="631"/>
      <c r="F18" s="624">
        <f>F7</f>
        <v>18435.099999999999</v>
      </c>
      <c r="G18" s="632">
        <f>'R G I'!S24</f>
        <v>494.47</v>
      </c>
    </row>
    <row r="19" spans="1:7" s="542" customFormat="1" ht="12" customHeight="1" x14ac:dyDescent="0.2">
      <c r="A19" s="618"/>
      <c r="B19" s="623">
        <f t="shared" ref="B19:B25" si="0">B8</f>
        <v>18435.109999999997</v>
      </c>
      <c r="C19" s="631"/>
      <c r="D19" s="631" t="s">
        <v>11</v>
      </c>
      <c r="E19" s="631"/>
      <c r="F19" s="624">
        <f t="shared" ref="F19:F25" si="1">F8</f>
        <v>36870.230000000003</v>
      </c>
      <c r="G19" s="633">
        <f>'R G I'!S25</f>
        <v>757.91</v>
      </c>
    </row>
    <row r="20" spans="1:7" s="542" customFormat="1" ht="12" customHeight="1" x14ac:dyDescent="0.2">
      <c r="A20" s="618"/>
      <c r="B20" s="623">
        <f t="shared" si="0"/>
        <v>36870.240000000005</v>
      </c>
      <c r="C20" s="631"/>
      <c r="D20" s="631" t="s">
        <v>11</v>
      </c>
      <c r="E20" s="631"/>
      <c r="F20" s="624">
        <f t="shared" si="1"/>
        <v>55305.35</v>
      </c>
      <c r="G20" s="633">
        <f>'R G I'!S26</f>
        <v>1021.4499999999999</v>
      </c>
    </row>
    <row r="21" spans="1:7" s="542" customFormat="1" ht="12" customHeight="1" x14ac:dyDescent="0.2">
      <c r="A21" s="618"/>
      <c r="B21" s="623">
        <f t="shared" si="0"/>
        <v>55305.36</v>
      </c>
      <c r="C21" s="631"/>
      <c r="D21" s="631" t="s">
        <v>11</v>
      </c>
      <c r="E21" s="631"/>
      <c r="F21" s="624">
        <f t="shared" si="1"/>
        <v>73740.490000000005</v>
      </c>
      <c r="G21" s="633">
        <f>'R G I'!S27</f>
        <v>1232.1599999999999</v>
      </c>
    </row>
    <row r="22" spans="1:7" s="542" customFormat="1" ht="12" customHeight="1" x14ac:dyDescent="0.2">
      <c r="A22" s="618"/>
      <c r="B22" s="623">
        <f t="shared" si="0"/>
        <v>73740.5</v>
      </c>
      <c r="C22" s="631"/>
      <c r="D22" s="631" t="s">
        <v>11</v>
      </c>
      <c r="E22" s="631"/>
      <c r="F22" s="624">
        <f t="shared" si="1"/>
        <v>98320.639999999999</v>
      </c>
      <c r="G22" s="633">
        <f>'R G I'!S28</f>
        <v>2113.9499999999998</v>
      </c>
    </row>
    <row r="23" spans="1:7" s="542" customFormat="1" ht="12" customHeight="1" x14ac:dyDescent="0.2">
      <c r="A23" s="618"/>
      <c r="B23" s="623">
        <f t="shared" si="0"/>
        <v>98320.65</v>
      </c>
      <c r="C23" s="631"/>
      <c r="D23" s="631" t="s">
        <v>11</v>
      </c>
      <c r="E23" s="631"/>
      <c r="F23" s="624">
        <f t="shared" si="1"/>
        <v>122900.81</v>
      </c>
      <c r="G23" s="633">
        <f>'R G I'!S29</f>
        <v>2479.31</v>
      </c>
    </row>
    <row r="24" spans="1:7" s="542" customFormat="1" ht="12" customHeight="1" x14ac:dyDescent="0.2">
      <c r="A24" s="618"/>
      <c r="B24" s="623">
        <f t="shared" si="0"/>
        <v>122900.81999999999</v>
      </c>
      <c r="C24" s="631"/>
      <c r="D24" s="631" t="s">
        <v>11</v>
      </c>
      <c r="E24" s="631"/>
      <c r="F24" s="624">
        <f t="shared" si="1"/>
        <v>245801.64</v>
      </c>
      <c r="G24" s="633">
        <f>'R G I'!S30</f>
        <v>3322.3499999999995</v>
      </c>
    </row>
    <row r="25" spans="1:7" s="542" customFormat="1" ht="12" customHeight="1" x14ac:dyDescent="0.2">
      <c r="A25" s="618"/>
      <c r="B25" s="623">
        <f t="shared" si="0"/>
        <v>245801.65000000002</v>
      </c>
      <c r="C25" s="631"/>
      <c r="D25" s="631" t="s">
        <v>11</v>
      </c>
      <c r="E25" s="631"/>
      <c r="F25" s="624">
        <f t="shared" si="1"/>
        <v>491603.3</v>
      </c>
      <c r="G25" s="633">
        <f>'R G I'!S31</f>
        <v>3568.3299999999995</v>
      </c>
    </row>
    <row r="26" spans="1:7" s="542" customFormat="1" ht="12" customHeight="1" x14ac:dyDescent="0.2">
      <c r="A26" s="634"/>
      <c r="B26" s="1158" t="str">
        <f>B15</f>
        <v>Obs.1 - A partir de 464.455,58, a cada 116.113,88, acrescentar</v>
      </c>
      <c r="C26" s="1159"/>
      <c r="D26" s="1159"/>
      <c r="E26" s="1159"/>
      <c r="F26" s="1160"/>
      <c r="G26" s="633">
        <f>'R G I'!S32</f>
        <v>311.47000000000003</v>
      </c>
    </row>
    <row r="27" spans="1:7" s="542" customFormat="1" ht="12" customHeight="1" x14ac:dyDescent="0.2">
      <c r="A27" s="634"/>
      <c r="B27" s="635"/>
      <c r="C27" s="636"/>
      <c r="D27" s="636"/>
      <c r="E27" s="636"/>
      <c r="F27" s="636"/>
      <c r="G27" s="637"/>
    </row>
    <row r="28" spans="1:7" s="542" customFormat="1" ht="22.5" customHeight="1" x14ac:dyDescent="0.2">
      <c r="A28" s="618"/>
      <c r="B28" s="1142" t="s">
        <v>615</v>
      </c>
      <c r="C28" s="1143"/>
      <c r="D28" s="1143"/>
      <c r="E28" s="1143"/>
      <c r="F28" s="1143"/>
      <c r="G28" s="1144"/>
    </row>
    <row r="29" spans="1:7" s="542" customFormat="1" ht="12.75" customHeight="1" x14ac:dyDescent="0.2">
      <c r="A29" s="622"/>
      <c r="B29" s="638" t="s">
        <v>49</v>
      </c>
      <c r="C29" s="547"/>
      <c r="D29" s="547"/>
      <c r="E29" s="547"/>
      <c r="F29" s="639" t="s">
        <v>50</v>
      </c>
      <c r="G29" s="640"/>
    </row>
    <row r="30" spans="1:7" ht="12.75" x14ac:dyDescent="0.2">
      <c r="A30" s="622"/>
      <c r="B30" s="623">
        <f>B18</f>
        <v>0.01</v>
      </c>
      <c r="C30" s="624"/>
      <c r="D30" s="624"/>
      <c r="E30" s="624"/>
      <c r="F30" s="625">
        <f>F18</f>
        <v>18435.099999999999</v>
      </c>
      <c r="G30" s="626">
        <f>'R G I'!S39</f>
        <v>379.76</v>
      </c>
    </row>
    <row r="31" spans="1:7" ht="12.75" x14ac:dyDescent="0.2">
      <c r="A31" s="622"/>
      <c r="B31" s="623">
        <f t="shared" ref="B31:B37" si="2">B19</f>
        <v>18435.109999999997</v>
      </c>
      <c r="C31" s="624"/>
      <c r="D31" s="624"/>
      <c r="E31" s="624"/>
      <c r="F31" s="625">
        <f t="shared" ref="F31:F37" si="3">F19</f>
        <v>36870.230000000003</v>
      </c>
      <c r="G31" s="626">
        <f>'R G I'!S40</f>
        <v>575.93999999999994</v>
      </c>
    </row>
    <row r="32" spans="1:7" ht="12.75" x14ac:dyDescent="0.2">
      <c r="A32" s="622"/>
      <c r="B32" s="623">
        <f t="shared" si="2"/>
        <v>36870.240000000005</v>
      </c>
      <c r="C32" s="624"/>
      <c r="D32" s="624"/>
      <c r="E32" s="624"/>
      <c r="F32" s="625">
        <f t="shared" si="3"/>
        <v>55305.35</v>
      </c>
      <c r="G32" s="626">
        <f>'R G I'!S41</f>
        <v>772.18999999999994</v>
      </c>
    </row>
    <row r="33" spans="1:7" ht="12.75" customHeight="1" x14ac:dyDescent="0.2">
      <c r="A33" s="622"/>
      <c r="B33" s="623">
        <f t="shared" si="2"/>
        <v>55305.36</v>
      </c>
      <c r="C33" s="624"/>
      <c r="D33" s="624"/>
      <c r="E33" s="624"/>
      <c r="F33" s="625">
        <f t="shared" si="3"/>
        <v>73740.490000000005</v>
      </c>
      <c r="G33" s="626">
        <f>'R G I'!S42</f>
        <v>929.1</v>
      </c>
    </row>
    <row r="34" spans="1:7" ht="13.5" customHeight="1" x14ac:dyDescent="0.2">
      <c r="A34" s="622"/>
      <c r="B34" s="623">
        <f t="shared" si="2"/>
        <v>73740.5</v>
      </c>
      <c r="C34" s="624"/>
      <c r="D34" s="624"/>
      <c r="E34" s="624"/>
      <c r="F34" s="625">
        <f t="shared" si="3"/>
        <v>98320.639999999999</v>
      </c>
      <c r="G34" s="626">
        <f>'R G I'!S43</f>
        <v>1585.7499999999998</v>
      </c>
    </row>
    <row r="35" spans="1:7" ht="12.75" x14ac:dyDescent="0.2">
      <c r="A35" s="622"/>
      <c r="B35" s="623">
        <f t="shared" si="2"/>
        <v>98320.65</v>
      </c>
      <c r="C35" s="624"/>
      <c r="D35" s="624"/>
      <c r="E35" s="624"/>
      <c r="F35" s="625">
        <f t="shared" si="3"/>
        <v>122900.81</v>
      </c>
      <c r="G35" s="626">
        <f>'R G I'!S44</f>
        <v>1857.8399999999997</v>
      </c>
    </row>
    <row r="36" spans="1:7" ht="12.75" x14ac:dyDescent="0.2">
      <c r="A36" s="622"/>
      <c r="B36" s="623">
        <f t="shared" si="2"/>
        <v>122900.81999999999</v>
      </c>
      <c r="C36" s="624"/>
      <c r="D36" s="624"/>
      <c r="E36" s="624"/>
      <c r="F36" s="625">
        <f t="shared" si="3"/>
        <v>245801.64</v>
      </c>
      <c r="G36" s="626">
        <f>'R G I'!S45</f>
        <v>2485.6299999999997</v>
      </c>
    </row>
    <row r="37" spans="1:7" ht="12.75" x14ac:dyDescent="0.2">
      <c r="A37" s="622"/>
      <c r="B37" s="623">
        <f t="shared" si="2"/>
        <v>245801.65000000002</v>
      </c>
      <c r="C37" s="624"/>
      <c r="D37" s="624"/>
      <c r="E37" s="624"/>
      <c r="F37" s="625">
        <f t="shared" si="3"/>
        <v>491603.3</v>
      </c>
      <c r="G37" s="626">
        <f>'R G I'!S46</f>
        <v>2668.81</v>
      </c>
    </row>
    <row r="38" spans="1:7" ht="12.75" x14ac:dyDescent="0.2">
      <c r="A38" s="622"/>
      <c r="B38" s="1162" t="str">
        <f>B26</f>
        <v>Obs.1 - A partir de 464.455,58, a cada 116.113,88, acrescentar</v>
      </c>
      <c r="C38" s="1163"/>
      <c r="D38" s="1163"/>
      <c r="E38" s="1163"/>
      <c r="F38" s="1164"/>
      <c r="G38" s="626">
        <f>'R G I'!S47</f>
        <v>231.96</v>
      </c>
    </row>
    <row r="39" spans="1:7" s="542" customFormat="1" ht="3.75" customHeight="1" x14ac:dyDescent="0.2">
      <c r="A39" s="634"/>
      <c r="B39" s="580"/>
      <c r="C39" s="627"/>
      <c r="D39" s="627"/>
      <c r="E39" s="627"/>
      <c r="F39" s="641"/>
      <c r="G39" s="640"/>
    </row>
    <row r="40" spans="1:7" s="542" customFormat="1" ht="20.25" customHeight="1" x14ac:dyDescent="0.2">
      <c r="A40" s="618"/>
      <c r="B40" s="1142" t="s">
        <v>616</v>
      </c>
      <c r="C40" s="1143"/>
      <c r="D40" s="1143"/>
      <c r="E40" s="1143"/>
      <c r="F40" s="1143"/>
      <c r="G40" s="1144"/>
    </row>
    <row r="41" spans="1:7" s="542" customFormat="1" ht="12.75" customHeight="1" x14ac:dyDescent="0.2">
      <c r="A41" s="622"/>
      <c r="B41" s="638" t="s">
        <v>49</v>
      </c>
      <c r="C41" s="547"/>
      <c r="D41" s="547"/>
      <c r="E41" s="547"/>
      <c r="F41" s="639" t="s">
        <v>50</v>
      </c>
      <c r="G41" s="640"/>
    </row>
    <row r="42" spans="1:7" ht="12.75" x14ac:dyDescent="0.2">
      <c r="A42" s="622"/>
      <c r="B42" s="623">
        <f>B30</f>
        <v>0.01</v>
      </c>
      <c r="C42" s="624"/>
      <c r="D42" s="624"/>
      <c r="E42" s="624"/>
      <c r="F42" s="625">
        <f>F30</f>
        <v>18435.099999999999</v>
      </c>
      <c r="G42" s="626">
        <f>'R G I'!S54</f>
        <v>227.48000000000005</v>
      </c>
    </row>
    <row r="43" spans="1:7" ht="12.75" x14ac:dyDescent="0.2">
      <c r="A43" s="622"/>
      <c r="B43" s="623">
        <f t="shared" ref="B43:B49" si="4">B31</f>
        <v>18435.109999999997</v>
      </c>
      <c r="C43" s="624"/>
      <c r="D43" s="624"/>
      <c r="E43" s="624"/>
      <c r="F43" s="625">
        <f t="shared" ref="F43:F49" si="5">F31</f>
        <v>36870.230000000003</v>
      </c>
      <c r="G43" s="626">
        <f>'R G I'!S55</f>
        <v>359.22</v>
      </c>
    </row>
    <row r="44" spans="1:7" ht="12.75" x14ac:dyDescent="0.2">
      <c r="A44" s="622"/>
      <c r="B44" s="623">
        <f t="shared" si="4"/>
        <v>36870.240000000005</v>
      </c>
      <c r="C44" s="624"/>
      <c r="D44" s="624"/>
      <c r="E44" s="624"/>
      <c r="F44" s="625">
        <f t="shared" si="5"/>
        <v>55305.35</v>
      </c>
      <c r="G44" s="626">
        <f>'R G I'!S56</f>
        <v>491.01</v>
      </c>
    </row>
    <row r="45" spans="1:7" ht="12.75" customHeight="1" x14ac:dyDescent="0.2">
      <c r="A45" s="622"/>
      <c r="B45" s="623">
        <f t="shared" si="4"/>
        <v>55305.36</v>
      </c>
      <c r="C45" s="624"/>
      <c r="D45" s="624"/>
      <c r="E45" s="624"/>
      <c r="F45" s="625">
        <f t="shared" si="5"/>
        <v>73740.490000000005</v>
      </c>
      <c r="G45" s="626">
        <f>'R G I'!S57</f>
        <v>596.33999999999992</v>
      </c>
    </row>
    <row r="46" spans="1:7" ht="13.5" customHeight="1" x14ac:dyDescent="0.2">
      <c r="A46" s="622"/>
      <c r="B46" s="623">
        <f t="shared" si="4"/>
        <v>73740.5</v>
      </c>
      <c r="C46" s="624"/>
      <c r="D46" s="624"/>
      <c r="E46" s="624"/>
      <c r="F46" s="625">
        <f t="shared" si="5"/>
        <v>98320.639999999999</v>
      </c>
      <c r="G46" s="626">
        <f>'R G I'!S58</f>
        <v>1037.2499999999998</v>
      </c>
    </row>
    <row r="47" spans="1:7" ht="12.75" x14ac:dyDescent="0.2">
      <c r="A47" s="622"/>
      <c r="B47" s="623">
        <f t="shared" si="4"/>
        <v>98320.65</v>
      </c>
      <c r="C47" s="624"/>
      <c r="D47" s="624"/>
      <c r="E47" s="624"/>
      <c r="F47" s="625">
        <f t="shared" si="5"/>
        <v>122900.81</v>
      </c>
      <c r="G47" s="626">
        <f>'R G I'!S59</f>
        <v>1219.92</v>
      </c>
    </row>
    <row r="48" spans="1:7" ht="12.75" x14ac:dyDescent="0.2">
      <c r="A48" s="622"/>
      <c r="B48" s="623">
        <f t="shared" si="4"/>
        <v>122900.81999999999</v>
      </c>
      <c r="C48" s="624"/>
      <c r="D48" s="624"/>
      <c r="E48" s="624"/>
      <c r="F48" s="625">
        <f t="shared" si="5"/>
        <v>245801.64</v>
      </c>
      <c r="G48" s="626">
        <f>'R G I'!S60</f>
        <v>1641.4399999999998</v>
      </c>
    </row>
    <row r="49" spans="1:7" ht="12.75" x14ac:dyDescent="0.2">
      <c r="A49" s="622"/>
      <c r="B49" s="623">
        <f t="shared" si="4"/>
        <v>245801.65000000002</v>
      </c>
      <c r="C49" s="624"/>
      <c r="D49" s="624"/>
      <c r="E49" s="624"/>
      <c r="F49" s="625">
        <f t="shared" si="5"/>
        <v>491603.3</v>
      </c>
      <c r="G49" s="626">
        <f>'R G I'!S61</f>
        <v>1764.44</v>
      </c>
    </row>
    <row r="50" spans="1:7" ht="19.5" customHeight="1" x14ac:dyDescent="0.2">
      <c r="A50" s="622"/>
      <c r="B50" s="1162" t="str">
        <f>B38</f>
        <v>Obs.1 - A partir de 464.455,58, a cada 116.113,88, acrescentar</v>
      </c>
      <c r="C50" s="1163"/>
      <c r="D50" s="1163"/>
      <c r="E50" s="1163"/>
      <c r="F50" s="1164"/>
      <c r="G50" s="626">
        <f>'R G I'!S62</f>
        <v>155.72000000000003</v>
      </c>
    </row>
    <row r="51" spans="1:7" s="542" customFormat="1" ht="23.25" customHeight="1" x14ac:dyDescent="0.2">
      <c r="A51" s="622"/>
      <c r="B51" s="1166" t="s">
        <v>54</v>
      </c>
      <c r="C51" s="1166"/>
      <c r="D51" s="1166"/>
      <c r="E51" s="1166"/>
      <c r="F51" s="1166"/>
      <c r="G51" s="1166"/>
    </row>
    <row r="52" spans="1:7" s="542" customFormat="1" ht="15" customHeight="1" x14ac:dyDescent="0.2">
      <c r="A52" s="622"/>
      <c r="B52" s="1167" t="s">
        <v>617</v>
      </c>
      <c r="C52" s="1168"/>
      <c r="D52" s="1168"/>
      <c r="E52" s="1168"/>
      <c r="F52" s="1168"/>
      <c r="G52" s="1169"/>
    </row>
    <row r="53" spans="1:7" s="542" customFormat="1" ht="15" x14ac:dyDescent="0.2">
      <c r="A53" s="622"/>
      <c r="B53" s="638" t="s">
        <v>49</v>
      </c>
      <c r="C53" s="547"/>
      <c r="D53" s="547"/>
      <c r="E53" s="547"/>
      <c r="F53" s="639" t="s">
        <v>50</v>
      </c>
      <c r="G53" s="643"/>
    </row>
    <row r="54" spans="1:7" s="542" customFormat="1" ht="12.75" x14ac:dyDescent="0.2">
      <c r="A54" s="622"/>
      <c r="B54" s="580">
        <f>MATRIZ!B75</f>
        <v>0.01</v>
      </c>
      <c r="C54" s="627"/>
      <c r="D54" s="627"/>
      <c r="E54" s="627"/>
      <c r="F54" s="641">
        <f>MATRIZ!H75</f>
        <v>122900.81</v>
      </c>
      <c r="G54" s="626">
        <f>'R G I'!S68</f>
        <v>2667.5999999999995</v>
      </c>
    </row>
    <row r="55" spans="1:7" s="542" customFormat="1" ht="12.75" x14ac:dyDescent="0.2">
      <c r="A55" s="622"/>
      <c r="B55" s="580">
        <f>MATRIZ!B76</f>
        <v>122900.81999999999</v>
      </c>
      <c r="C55" s="627"/>
      <c r="D55" s="627"/>
      <c r="E55" s="627"/>
      <c r="F55" s="641">
        <f>MATRIZ!H76</f>
        <v>614504.12</v>
      </c>
      <c r="G55" s="626">
        <f>'R G I'!S69</f>
        <v>4250.0599999999995</v>
      </c>
    </row>
    <row r="56" spans="1:7" s="542" customFormat="1" ht="12.75" x14ac:dyDescent="0.2">
      <c r="A56" s="622"/>
      <c r="B56" s="580">
        <f>MATRIZ!B77</f>
        <v>614504.13</v>
      </c>
      <c r="C56" s="627"/>
      <c r="D56" s="627"/>
      <c r="E56" s="627"/>
      <c r="F56" s="641">
        <f>MATRIZ!H77</f>
        <v>983206.61</v>
      </c>
      <c r="G56" s="626">
        <f>'R G I'!S70</f>
        <v>5894.12</v>
      </c>
    </row>
    <row r="57" spans="1:7" s="542" customFormat="1" ht="12.75" x14ac:dyDescent="0.2">
      <c r="A57" s="622"/>
      <c r="B57" s="580">
        <f>MATRIZ!B78</f>
        <v>983206.62</v>
      </c>
      <c r="C57" s="627"/>
      <c r="D57" s="627"/>
      <c r="E57" s="627"/>
      <c r="F57" s="641">
        <f>MATRIZ!H78</f>
        <v>1229008.25</v>
      </c>
      <c r="G57" s="626">
        <f>'R G I'!S71</f>
        <v>6716.11</v>
      </c>
    </row>
    <row r="58" spans="1:7" s="542" customFormat="1" ht="13.5" customHeight="1" x14ac:dyDescent="0.2">
      <c r="A58" s="622"/>
      <c r="B58" s="1158" t="s">
        <v>645</v>
      </c>
      <c r="C58" s="1159"/>
      <c r="D58" s="1159"/>
      <c r="E58" s="1159"/>
      <c r="F58" s="1160"/>
      <c r="G58" s="626">
        <f>'R G I'!S72</f>
        <v>311.47000000000003</v>
      </c>
    </row>
    <row r="59" spans="1:7" s="542" customFormat="1" ht="7.5" customHeight="1" x14ac:dyDescent="0.2">
      <c r="A59" s="618"/>
      <c r="B59" s="1170"/>
      <c r="C59" s="1171"/>
      <c r="D59" s="1171"/>
      <c r="E59" s="1171"/>
      <c r="F59" s="1171"/>
      <c r="G59" s="643"/>
    </row>
    <row r="60" spans="1:7" s="542" customFormat="1" ht="21" customHeight="1" x14ac:dyDescent="0.2">
      <c r="A60" s="622"/>
      <c r="B60" s="1142" t="s">
        <v>618</v>
      </c>
      <c r="C60" s="1143"/>
      <c r="D60" s="1143"/>
      <c r="E60" s="1143"/>
      <c r="F60" s="1143"/>
      <c r="G60" s="1144"/>
    </row>
    <row r="61" spans="1:7" s="542" customFormat="1" ht="21" customHeight="1" x14ac:dyDescent="0.2">
      <c r="A61" s="622"/>
      <c r="B61" s="1172" t="s">
        <v>619</v>
      </c>
      <c r="C61" s="1173"/>
      <c r="D61" s="1173"/>
      <c r="E61" s="1173"/>
      <c r="F61" s="1173"/>
      <c r="G61" s="1174"/>
    </row>
    <row r="62" spans="1:7" s="542" customFormat="1" ht="15" x14ac:dyDescent="0.2">
      <c r="A62" s="622"/>
      <c r="B62" s="638" t="s">
        <v>49</v>
      </c>
      <c r="C62" s="547"/>
      <c r="D62" s="547"/>
      <c r="E62" s="547"/>
      <c r="F62" s="639" t="s">
        <v>50</v>
      </c>
      <c r="G62" s="644"/>
    </row>
    <row r="63" spans="1:7" s="542" customFormat="1" ht="14.25" customHeight="1" x14ac:dyDescent="0.2">
      <c r="A63" s="622"/>
      <c r="B63" s="623">
        <f>B42</f>
        <v>0.01</v>
      </c>
      <c r="C63" s="624"/>
      <c r="D63" s="624"/>
      <c r="E63" s="624"/>
      <c r="F63" s="625">
        <f>F42</f>
        <v>18435.099999999999</v>
      </c>
      <c r="G63" s="626">
        <f>'R G I'!S78</f>
        <v>329.75999999999993</v>
      </c>
    </row>
    <row r="64" spans="1:7" s="542" customFormat="1" ht="15" customHeight="1" x14ac:dyDescent="0.2">
      <c r="A64" s="622"/>
      <c r="B64" s="623">
        <f t="shared" ref="B64:B70" si="6">B43</f>
        <v>18435.109999999997</v>
      </c>
      <c r="C64" s="627"/>
      <c r="D64" s="627"/>
      <c r="E64" s="627"/>
      <c r="F64" s="625">
        <f t="shared" ref="F64:F70" si="7">F43</f>
        <v>36870.230000000003</v>
      </c>
      <c r="G64" s="626">
        <f>'R G I'!S79</f>
        <v>402.96000000000004</v>
      </c>
    </row>
    <row r="65" spans="1:7" s="542" customFormat="1" ht="15" customHeight="1" x14ac:dyDescent="0.2">
      <c r="A65" s="622"/>
      <c r="B65" s="623">
        <f t="shared" si="6"/>
        <v>36870.240000000005</v>
      </c>
      <c r="C65" s="627"/>
      <c r="D65" s="627"/>
      <c r="E65" s="627"/>
      <c r="F65" s="625">
        <f t="shared" si="7"/>
        <v>55305.35</v>
      </c>
      <c r="G65" s="626">
        <f>'R G I'!S80</f>
        <v>549.15000000000009</v>
      </c>
    </row>
    <row r="66" spans="1:7" s="542" customFormat="1" ht="15" customHeight="1" x14ac:dyDescent="0.2">
      <c r="A66" s="622"/>
      <c r="B66" s="623">
        <f t="shared" si="6"/>
        <v>55305.36</v>
      </c>
      <c r="C66" s="627"/>
      <c r="D66" s="627"/>
      <c r="E66" s="627"/>
      <c r="F66" s="625">
        <f t="shared" si="7"/>
        <v>73740.490000000005</v>
      </c>
      <c r="G66" s="626">
        <f>'R G I'!S81</f>
        <v>622.59</v>
      </c>
    </row>
    <row r="67" spans="1:7" s="542" customFormat="1" ht="15" customHeight="1" x14ac:dyDescent="0.2">
      <c r="A67" s="622"/>
      <c r="B67" s="623">
        <f t="shared" si="6"/>
        <v>73740.5</v>
      </c>
      <c r="C67" s="627"/>
      <c r="D67" s="627"/>
      <c r="E67" s="627"/>
      <c r="F67" s="625">
        <f t="shared" si="7"/>
        <v>98320.639999999999</v>
      </c>
      <c r="G67" s="626">
        <f>'R G I'!S82</f>
        <v>768.89999999999986</v>
      </c>
    </row>
    <row r="68" spans="1:7" s="542" customFormat="1" ht="12.75" x14ac:dyDescent="0.2">
      <c r="A68" s="622"/>
      <c r="B68" s="623">
        <f t="shared" si="6"/>
        <v>98320.65</v>
      </c>
      <c r="C68" s="627"/>
      <c r="D68" s="627"/>
      <c r="E68" s="627"/>
      <c r="F68" s="625">
        <f t="shared" si="7"/>
        <v>122900.81</v>
      </c>
      <c r="G68" s="626">
        <f>'R G I'!S83</f>
        <v>926.92</v>
      </c>
    </row>
    <row r="69" spans="1:7" s="542" customFormat="1" ht="15" customHeight="1" x14ac:dyDescent="0.2">
      <c r="A69" s="622"/>
      <c r="B69" s="623">
        <f t="shared" si="6"/>
        <v>122900.81999999999</v>
      </c>
      <c r="C69" s="627"/>
      <c r="D69" s="627"/>
      <c r="E69" s="627"/>
      <c r="F69" s="625">
        <f t="shared" si="7"/>
        <v>245801.64</v>
      </c>
      <c r="G69" s="626">
        <f>'R G I'!S84</f>
        <v>1084.48</v>
      </c>
    </row>
    <row r="70" spans="1:7" s="542" customFormat="1" ht="15" customHeight="1" x14ac:dyDescent="0.2">
      <c r="A70" s="622"/>
      <c r="B70" s="623">
        <f t="shared" si="6"/>
        <v>245801.65000000002</v>
      </c>
      <c r="C70" s="627"/>
      <c r="D70" s="627"/>
      <c r="E70" s="627"/>
      <c r="F70" s="625">
        <f t="shared" si="7"/>
        <v>491603.3</v>
      </c>
      <c r="G70" s="626">
        <f>'R G I'!S85</f>
        <v>1175.83</v>
      </c>
    </row>
    <row r="71" spans="1:7" s="542" customFormat="1" ht="13.5" customHeight="1" x14ac:dyDescent="0.2">
      <c r="A71" s="622"/>
      <c r="B71" s="1175" t="str">
        <f>B50</f>
        <v>Obs.1 - A partir de 464.455,58, a cada 116.113,88, acrescentar</v>
      </c>
      <c r="C71" s="1176"/>
      <c r="D71" s="1176"/>
      <c r="E71" s="1176"/>
      <c r="F71" s="1177"/>
      <c r="G71" s="626">
        <f>'R G I'!S86</f>
        <v>155.68000000000004</v>
      </c>
    </row>
    <row r="72" spans="1:7" s="542" customFormat="1" ht="15" customHeight="1" x14ac:dyDescent="0.2">
      <c r="A72" s="622"/>
      <c r="B72" s="645"/>
      <c r="C72" s="627"/>
      <c r="D72" s="627"/>
      <c r="E72" s="627"/>
      <c r="F72" s="641"/>
      <c r="G72" s="626"/>
    </row>
    <row r="73" spans="1:7" s="542" customFormat="1" ht="22.5" customHeight="1" x14ac:dyDescent="0.2">
      <c r="A73" s="622"/>
      <c r="B73" s="1166" t="s">
        <v>57</v>
      </c>
      <c r="C73" s="1166"/>
      <c r="D73" s="1166"/>
      <c r="E73" s="1166"/>
      <c r="F73" s="1166"/>
      <c r="G73" s="1166"/>
    </row>
    <row r="74" spans="1:7" s="608" customFormat="1" ht="24.75" customHeight="1" x14ac:dyDescent="0.25">
      <c r="A74" s="646"/>
      <c r="B74" s="1172" t="s">
        <v>620</v>
      </c>
      <c r="C74" s="1173"/>
      <c r="D74" s="1173"/>
      <c r="E74" s="1173"/>
      <c r="F74" s="1173"/>
      <c r="G74" s="1174"/>
    </row>
    <row r="75" spans="1:7" s="542" customFormat="1" ht="15" x14ac:dyDescent="0.2">
      <c r="A75" s="622"/>
      <c r="B75" s="638" t="s">
        <v>49</v>
      </c>
      <c r="C75" s="547"/>
      <c r="D75" s="547"/>
      <c r="E75" s="547"/>
      <c r="F75" s="639" t="s">
        <v>50</v>
      </c>
      <c r="G75" s="644"/>
    </row>
    <row r="76" spans="1:7" s="542" customFormat="1" ht="13.5" customHeight="1" x14ac:dyDescent="0.2">
      <c r="A76" s="622"/>
      <c r="B76" s="623">
        <f>B63</f>
        <v>0.01</v>
      </c>
      <c r="C76" s="624"/>
      <c r="D76" s="624"/>
      <c r="E76" s="624"/>
      <c r="F76" s="625">
        <f>F63</f>
        <v>18435.099999999999</v>
      </c>
      <c r="G76" s="626">
        <f>'R G I'!S92</f>
        <v>372.03999999999996</v>
      </c>
    </row>
    <row r="77" spans="1:7" s="542" customFormat="1" ht="15" customHeight="1" x14ac:dyDescent="0.2">
      <c r="A77" s="622"/>
      <c r="B77" s="623">
        <f t="shared" ref="B77:B83" si="8">B64</f>
        <v>18435.109999999997</v>
      </c>
      <c r="C77" s="627"/>
      <c r="D77" s="627"/>
      <c r="E77" s="627"/>
      <c r="F77" s="625">
        <f t="shared" ref="F77:F83" si="9">F64</f>
        <v>36870.230000000003</v>
      </c>
      <c r="G77" s="626">
        <f>'R G I'!S93</f>
        <v>445.24</v>
      </c>
    </row>
    <row r="78" spans="1:7" s="542" customFormat="1" ht="15" customHeight="1" x14ac:dyDescent="0.2">
      <c r="A78" s="622"/>
      <c r="B78" s="623">
        <f t="shared" si="8"/>
        <v>36870.240000000005</v>
      </c>
      <c r="C78" s="627"/>
      <c r="D78" s="627"/>
      <c r="E78" s="627"/>
      <c r="F78" s="625">
        <f t="shared" si="9"/>
        <v>55305.35</v>
      </c>
      <c r="G78" s="626">
        <f>'R G I'!S94</f>
        <v>591.43000000000006</v>
      </c>
    </row>
    <row r="79" spans="1:7" s="542" customFormat="1" ht="15" customHeight="1" x14ac:dyDescent="0.2">
      <c r="A79" s="622"/>
      <c r="B79" s="623">
        <f t="shared" si="8"/>
        <v>55305.36</v>
      </c>
      <c r="C79" s="627"/>
      <c r="D79" s="627"/>
      <c r="E79" s="627"/>
      <c r="F79" s="625">
        <f t="shared" si="9"/>
        <v>73740.490000000005</v>
      </c>
      <c r="G79" s="626">
        <f>'R G I'!S95</f>
        <v>664.87</v>
      </c>
    </row>
    <row r="80" spans="1:7" s="542" customFormat="1" ht="15" customHeight="1" x14ac:dyDescent="0.2">
      <c r="A80" s="622"/>
      <c r="B80" s="623">
        <f t="shared" si="8"/>
        <v>73740.5</v>
      </c>
      <c r="C80" s="627"/>
      <c r="D80" s="627"/>
      <c r="E80" s="627"/>
      <c r="F80" s="625">
        <f t="shared" si="9"/>
        <v>98320.639999999999</v>
      </c>
      <c r="G80" s="626">
        <f>'R G I'!S96</f>
        <v>811.17999999999984</v>
      </c>
    </row>
    <row r="81" spans="1:7" s="542" customFormat="1" ht="12.75" x14ac:dyDescent="0.2">
      <c r="A81" s="622"/>
      <c r="B81" s="623">
        <f t="shared" si="8"/>
        <v>98320.65</v>
      </c>
      <c r="C81" s="627"/>
      <c r="D81" s="627"/>
      <c r="E81" s="627"/>
      <c r="F81" s="625">
        <f t="shared" si="9"/>
        <v>122900.81</v>
      </c>
      <c r="G81" s="626">
        <f>'R G I'!S97</f>
        <v>969.19999999999993</v>
      </c>
    </row>
    <row r="82" spans="1:7" s="542" customFormat="1" ht="15" customHeight="1" x14ac:dyDescent="0.2">
      <c r="A82" s="622"/>
      <c r="B82" s="623">
        <f t="shared" si="8"/>
        <v>122900.81999999999</v>
      </c>
      <c r="C82" s="627"/>
      <c r="D82" s="627"/>
      <c r="E82" s="627"/>
      <c r="F82" s="625">
        <f t="shared" si="9"/>
        <v>245801.64</v>
      </c>
      <c r="G82" s="626">
        <f>'R G I'!S98</f>
        <v>1126.76</v>
      </c>
    </row>
    <row r="83" spans="1:7" s="542" customFormat="1" ht="15" customHeight="1" x14ac:dyDescent="0.2">
      <c r="A83" s="622"/>
      <c r="B83" s="623">
        <f t="shared" si="8"/>
        <v>245801.65000000002</v>
      </c>
      <c r="C83" s="627"/>
      <c r="D83" s="627"/>
      <c r="E83" s="627"/>
      <c r="F83" s="625">
        <f t="shared" si="9"/>
        <v>491603.3</v>
      </c>
      <c r="G83" s="626">
        <f>'R G I'!S99</f>
        <v>1218.1099999999999</v>
      </c>
    </row>
    <row r="84" spans="1:7" s="542" customFormat="1" ht="12.75" customHeight="1" x14ac:dyDescent="0.2">
      <c r="A84" s="622"/>
      <c r="B84" s="1175" t="str">
        <f>B71</f>
        <v>Obs.1 - A partir de 464.455,58, a cada 116.113,88, acrescentar</v>
      </c>
      <c r="C84" s="1176"/>
      <c r="D84" s="1176"/>
      <c r="E84" s="1176"/>
      <c r="F84" s="1177"/>
      <c r="G84" s="626">
        <f>'R G I'!S100</f>
        <v>155.68000000000004</v>
      </c>
    </row>
    <row r="85" spans="1:7" s="542" customFormat="1" ht="14.25" customHeight="1" x14ac:dyDescent="0.2">
      <c r="A85" s="622"/>
      <c r="B85" s="663"/>
      <c r="C85" s="647"/>
      <c r="D85" s="647"/>
      <c r="E85" s="647"/>
      <c r="F85" s="648"/>
      <c r="G85" s="626"/>
    </row>
    <row r="86" spans="1:7" s="542" customFormat="1" ht="18" customHeight="1" x14ac:dyDescent="0.2">
      <c r="A86" s="622"/>
      <c r="B86" s="1165" t="s">
        <v>621</v>
      </c>
      <c r="C86" s="1165"/>
      <c r="D86" s="1165"/>
      <c r="E86" s="1165"/>
      <c r="F86" s="1165"/>
      <c r="G86" s="1165"/>
    </row>
    <row r="87" spans="1:7" s="542" customFormat="1" ht="17.25" customHeight="1" x14ac:dyDescent="0.2">
      <c r="A87" s="622"/>
      <c r="B87" s="1180" t="s">
        <v>61</v>
      </c>
      <c r="C87" s="1180"/>
      <c r="D87" s="1180"/>
      <c r="E87" s="1180"/>
      <c r="F87" s="1180"/>
      <c r="G87" s="1180"/>
    </row>
    <row r="88" spans="1:7" s="542" customFormat="1" ht="32.25" customHeight="1" x14ac:dyDescent="0.2">
      <c r="A88" s="622"/>
      <c r="B88" s="1181" t="s">
        <v>622</v>
      </c>
      <c r="C88" s="1182"/>
      <c r="D88" s="1182"/>
      <c r="E88" s="1182"/>
      <c r="F88" s="1183"/>
      <c r="G88" s="626">
        <f>'R G I'!S105</f>
        <v>274.58999999999992</v>
      </c>
    </row>
    <row r="89" spans="1:7" s="542" customFormat="1" ht="14.25" customHeight="1" x14ac:dyDescent="0.2">
      <c r="A89" s="622"/>
      <c r="B89" s="1184" t="s">
        <v>623</v>
      </c>
      <c r="C89" s="1185"/>
      <c r="D89" s="1185"/>
      <c r="E89" s="1185"/>
      <c r="F89" s="1186"/>
      <c r="G89" s="626">
        <f>'R G I'!S107</f>
        <v>274.58999999999992</v>
      </c>
    </row>
    <row r="90" spans="1:7" s="542" customFormat="1" ht="15" customHeight="1" x14ac:dyDescent="0.2">
      <c r="A90" s="622"/>
      <c r="B90" s="1187" t="s">
        <v>65</v>
      </c>
      <c r="C90" s="1188"/>
      <c r="D90" s="1188"/>
      <c r="E90" s="1188"/>
      <c r="F90" s="1189"/>
      <c r="G90" s="626">
        <f>'R G I'!S108</f>
        <v>750.82</v>
      </c>
    </row>
    <row r="91" spans="1:7" s="542" customFormat="1" ht="15" customHeight="1" x14ac:dyDescent="0.2">
      <c r="A91" s="622"/>
      <c r="B91" s="1190" t="s">
        <v>66</v>
      </c>
      <c r="C91" s="1191"/>
      <c r="D91" s="1191"/>
      <c r="E91" s="1191"/>
      <c r="F91" s="1192"/>
      <c r="G91" s="626">
        <f>'R G I'!S109</f>
        <v>48.36</v>
      </c>
    </row>
    <row r="92" spans="1:7" s="542" customFormat="1" ht="15" customHeight="1" x14ac:dyDescent="0.2">
      <c r="A92" s="622"/>
      <c r="B92" s="1190" t="s">
        <v>67</v>
      </c>
      <c r="C92" s="1191"/>
      <c r="D92" s="1191"/>
      <c r="E92" s="1191"/>
      <c r="F92" s="1192"/>
      <c r="G92" s="626">
        <f>'R G I'!S110</f>
        <v>113.85</v>
      </c>
    </row>
    <row r="93" spans="1:7" s="542" customFormat="1" ht="15" customHeight="1" x14ac:dyDescent="0.2">
      <c r="A93" s="622"/>
      <c r="B93" s="1193" t="s">
        <v>68</v>
      </c>
      <c r="C93" s="1194"/>
      <c r="D93" s="1194"/>
      <c r="E93" s="1194"/>
      <c r="F93" s="1195"/>
      <c r="G93" s="626"/>
    </row>
    <row r="94" spans="1:7" s="542" customFormat="1" ht="15" customHeight="1" x14ac:dyDescent="0.2">
      <c r="A94" s="622"/>
      <c r="B94" s="1190" t="s">
        <v>69</v>
      </c>
      <c r="C94" s="1191"/>
      <c r="D94" s="1191"/>
      <c r="E94" s="1191"/>
      <c r="F94" s="1192"/>
      <c r="G94" s="626">
        <f>'R G I'!S112</f>
        <v>387.16</v>
      </c>
    </row>
    <row r="95" spans="1:7" s="542" customFormat="1" ht="15" customHeight="1" x14ac:dyDescent="0.2">
      <c r="A95" s="622"/>
      <c r="B95" s="1196" t="s">
        <v>70</v>
      </c>
      <c r="C95" s="1197"/>
      <c r="D95" s="1197"/>
      <c r="E95" s="1197"/>
      <c r="F95" s="1198"/>
      <c r="G95" s="626">
        <f>'R G I'!S113</f>
        <v>41.300000000000004</v>
      </c>
    </row>
    <row r="96" spans="1:7" s="542" customFormat="1" ht="14.25" customHeight="1" x14ac:dyDescent="0.2">
      <c r="A96" s="622"/>
      <c r="B96" s="1196" t="s">
        <v>71</v>
      </c>
      <c r="C96" s="1197"/>
      <c r="D96" s="1197"/>
      <c r="E96" s="1197"/>
      <c r="F96" s="1198"/>
      <c r="G96" s="626">
        <f>'R G I'!S114</f>
        <v>37.819999999999993</v>
      </c>
    </row>
    <row r="97" spans="1:7" s="542" customFormat="1" ht="14.25" customHeight="1" x14ac:dyDescent="0.2">
      <c r="A97" s="622"/>
      <c r="B97" s="1199" t="s">
        <v>546</v>
      </c>
      <c r="C97" s="1200"/>
      <c r="D97" s="1200"/>
      <c r="E97" s="1200"/>
      <c r="F97" s="1201"/>
      <c r="G97" s="626">
        <f>'R G I'!S115</f>
        <v>155.98000000000002</v>
      </c>
    </row>
    <row r="98" spans="1:7" s="542" customFormat="1" ht="14.25" customHeight="1" x14ac:dyDescent="0.2">
      <c r="A98" s="622"/>
      <c r="B98" s="650" t="s">
        <v>547</v>
      </c>
      <c r="C98" s="649"/>
      <c r="D98" s="649"/>
      <c r="E98" s="649"/>
      <c r="F98" s="649"/>
      <c r="G98" s="642">
        <f>Notas!R90</f>
        <v>41.989999999999995</v>
      </c>
    </row>
    <row r="99" spans="1:7" s="542" customFormat="1" ht="14.25" customHeight="1" x14ac:dyDescent="0.2">
      <c r="A99" s="622"/>
      <c r="B99" s="651" t="s">
        <v>73</v>
      </c>
      <c r="C99" s="652"/>
      <c r="D99" s="652"/>
      <c r="E99" s="652"/>
      <c r="F99" s="652"/>
      <c r="G99" s="642"/>
    </row>
    <row r="100" spans="1:7" s="542" customFormat="1" ht="14.25" customHeight="1" x14ac:dyDescent="0.2">
      <c r="A100" s="622"/>
      <c r="B100" s="651" t="s">
        <v>74</v>
      </c>
      <c r="C100" s="652"/>
      <c r="D100" s="652"/>
      <c r="E100" s="652"/>
      <c r="F100" s="652"/>
      <c r="G100" s="642">
        <f>'R G I'!S117</f>
        <v>61.26</v>
      </c>
    </row>
    <row r="101" spans="1:7" s="542" customFormat="1" ht="14.25" customHeight="1" x14ac:dyDescent="0.2">
      <c r="A101" s="622"/>
      <c r="B101" s="651" t="s">
        <v>75</v>
      </c>
      <c r="C101" s="652"/>
      <c r="D101" s="652"/>
      <c r="E101" s="652"/>
      <c r="F101" s="652"/>
      <c r="G101" s="642">
        <f>'R G I'!S118</f>
        <v>5.4899999999999993</v>
      </c>
    </row>
    <row r="102" spans="1:7" s="542" customFormat="1" ht="14.25" customHeight="1" x14ac:dyDescent="0.2">
      <c r="A102" s="622"/>
      <c r="B102" s="651" t="s">
        <v>76</v>
      </c>
      <c r="C102" s="652"/>
      <c r="D102" s="652"/>
      <c r="E102" s="652"/>
      <c r="F102" s="652"/>
      <c r="G102" s="642" t="s">
        <v>77</v>
      </c>
    </row>
    <row r="103" spans="1:7" s="542" customFormat="1" ht="14.25" customHeight="1" x14ac:dyDescent="0.2">
      <c r="A103" s="622"/>
      <c r="B103" s="651" t="s">
        <v>78</v>
      </c>
      <c r="C103" s="652"/>
      <c r="D103" s="652"/>
      <c r="E103" s="652"/>
      <c r="F103" s="652"/>
      <c r="G103" s="642"/>
    </row>
    <row r="104" spans="1:7" s="542" customFormat="1" ht="14.25" customHeight="1" x14ac:dyDescent="0.2">
      <c r="A104" s="622"/>
      <c r="B104" s="651" t="s">
        <v>79</v>
      </c>
      <c r="C104" s="652"/>
      <c r="D104" s="652"/>
      <c r="E104" s="652"/>
      <c r="F104" s="652"/>
      <c r="G104" s="642"/>
    </row>
    <row r="105" spans="1:7" s="542" customFormat="1" ht="14.25" customHeight="1" x14ac:dyDescent="0.2">
      <c r="A105" s="622"/>
      <c r="B105" s="651" t="s">
        <v>80</v>
      </c>
      <c r="C105" s="652"/>
      <c r="D105" s="652"/>
      <c r="E105" s="652"/>
      <c r="F105" s="652"/>
      <c r="G105" s="642">
        <f>'R G I'!S122</f>
        <v>756.86000000000013</v>
      </c>
    </row>
    <row r="106" spans="1:7" s="542" customFormat="1" ht="14.25" customHeight="1" x14ac:dyDescent="0.2">
      <c r="A106" s="622"/>
      <c r="B106" s="651" t="s">
        <v>81</v>
      </c>
      <c r="C106" s="652"/>
      <c r="D106" s="652"/>
      <c r="E106" s="652"/>
      <c r="F106" s="652"/>
      <c r="G106" s="642">
        <f>'R G I'!S123</f>
        <v>68.320000000000007</v>
      </c>
    </row>
    <row r="107" spans="1:7" s="542" customFormat="1" ht="14.25" customHeight="1" x14ac:dyDescent="0.2">
      <c r="A107" s="622"/>
      <c r="B107" s="651" t="s">
        <v>624</v>
      </c>
      <c r="C107" s="652"/>
      <c r="D107" s="652"/>
      <c r="E107" s="652"/>
      <c r="F107" s="652"/>
      <c r="G107" s="642">
        <f>'R G I'!S124</f>
        <v>68.320000000000007</v>
      </c>
    </row>
    <row r="108" spans="1:7" s="542" customFormat="1" ht="14.25" customHeight="1" x14ac:dyDescent="0.2">
      <c r="A108" s="622"/>
      <c r="B108" s="651" t="s">
        <v>82</v>
      </c>
      <c r="C108" s="652"/>
      <c r="D108" s="652"/>
      <c r="E108" s="652"/>
      <c r="F108" s="652"/>
      <c r="G108" s="642">
        <f>'R G I'!S125</f>
        <v>259.03000000000003</v>
      </c>
    </row>
    <row r="109" spans="1:7" s="542" customFormat="1" ht="14.25" customHeight="1" x14ac:dyDescent="0.2">
      <c r="A109" s="622"/>
      <c r="B109" s="651" t="s">
        <v>83</v>
      </c>
      <c r="C109" s="652"/>
      <c r="D109" s="652"/>
      <c r="E109" s="652"/>
      <c r="F109" s="652"/>
      <c r="G109" s="642">
        <f>'R G I'!S126</f>
        <v>259.03000000000003</v>
      </c>
    </row>
    <row r="110" spans="1:7" s="542" customFormat="1" ht="31.5" customHeight="1" x14ac:dyDescent="0.2">
      <c r="A110" s="622"/>
      <c r="B110" s="1178" t="s">
        <v>84</v>
      </c>
      <c r="C110" s="1179"/>
      <c r="D110" s="1179"/>
      <c r="E110" s="1179"/>
      <c r="F110" s="1179"/>
      <c r="G110" s="642">
        <f>'R G I'!S127</f>
        <v>113.85</v>
      </c>
    </row>
    <row r="111" spans="1:7" s="542" customFormat="1" ht="14.25" customHeight="1" x14ac:dyDescent="0.2">
      <c r="A111" s="622"/>
      <c r="B111" s="651" t="s">
        <v>85</v>
      </c>
      <c r="C111" s="652"/>
      <c r="D111" s="652"/>
      <c r="E111" s="652"/>
      <c r="F111" s="652"/>
      <c r="G111" s="642">
        <f>'R G I'!S128</f>
        <v>8.870000000000001</v>
      </c>
    </row>
    <row r="112" spans="1:7" s="542" customFormat="1" ht="14.25" customHeight="1" x14ac:dyDescent="0.2">
      <c r="A112" s="622"/>
      <c r="B112" s="651" t="s">
        <v>86</v>
      </c>
      <c r="C112" s="652"/>
      <c r="D112" s="652"/>
      <c r="E112" s="652"/>
      <c r="F112" s="652"/>
      <c r="G112" s="642">
        <f>'R G I'!S129</f>
        <v>39.559999999999995</v>
      </c>
    </row>
    <row r="113" spans="2:7" ht="32.25" customHeight="1" x14ac:dyDescent="0.2">
      <c r="B113" s="1204" t="s">
        <v>625</v>
      </c>
      <c r="C113" s="1205"/>
      <c r="D113" s="1205"/>
      <c r="E113" s="1205"/>
      <c r="F113" s="1205"/>
      <c r="G113" s="642">
        <f>'R G I'!S130</f>
        <v>143.19</v>
      </c>
    </row>
    <row r="114" spans="2:7" ht="19.5" customHeight="1" x14ac:dyDescent="0.2">
      <c r="B114" s="1206" t="s">
        <v>626</v>
      </c>
      <c r="C114" s="1207"/>
      <c r="D114" s="1207"/>
      <c r="E114" s="1207"/>
      <c r="F114" s="1207"/>
      <c r="G114" s="642">
        <f>'R G I'!S131</f>
        <v>0</v>
      </c>
    </row>
    <row r="115" spans="2:7" ht="19.5" customHeight="1" x14ac:dyDescent="0.2">
      <c r="B115" s="1184" t="s">
        <v>89</v>
      </c>
      <c r="C115" s="1185"/>
      <c r="D115" s="1185"/>
      <c r="E115" s="1185"/>
      <c r="F115" s="1185"/>
      <c r="G115" s="642">
        <f>'R G I'!S132</f>
        <v>406.13000000000005</v>
      </c>
    </row>
    <row r="116" spans="2:7" ht="19.5" customHeight="1" x14ac:dyDescent="0.2">
      <c r="B116" s="1184" t="s">
        <v>90</v>
      </c>
      <c r="C116" s="1185"/>
      <c r="D116" s="1185"/>
      <c r="E116" s="1185"/>
      <c r="F116" s="1185"/>
      <c r="G116" s="642">
        <f>'R G I'!S133</f>
        <v>113.85</v>
      </c>
    </row>
    <row r="117" spans="2:7" ht="19.5" customHeight="1" x14ac:dyDescent="0.2">
      <c r="B117" s="1184" t="s">
        <v>144</v>
      </c>
      <c r="C117" s="1185"/>
      <c r="D117" s="1185"/>
      <c r="E117" s="1185"/>
      <c r="F117" s="1185"/>
      <c r="G117" s="642">
        <f>'R G I'!S134</f>
        <v>68.320000000000007</v>
      </c>
    </row>
    <row r="118" spans="2:7" ht="19.5" customHeight="1" x14ac:dyDescent="0.2">
      <c r="B118" s="1184" t="s">
        <v>92</v>
      </c>
      <c r="C118" s="1185"/>
      <c r="D118" s="1185"/>
      <c r="E118" s="1185"/>
      <c r="F118" s="1185"/>
      <c r="G118" s="642" t="s">
        <v>627</v>
      </c>
    </row>
    <row r="119" spans="2:7" ht="6.75" customHeight="1" x14ac:dyDescent="0.2">
      <c r="B119" s="653"/>
      <c r="C119" s="654"/>
      <c r="D119" s="654"/>
      <c r="E119" s="654"/>
      <c r="F119" s="654"/>
      <c r="G119" s="655"/>
    </row>
    <row r="121" spans="2:7" ht="12.75" x14ac:dyDescent="0.2">
      <c r="B121" s="656" t="s">
        <v>628</v>
      </c>
      <c r="C121" s="657"/>
      <c r="D121" s="658" t="s">
        <v>629</v>
      </c>
      <c r="E121" s="658"/>
      <c r="F121" s="659">
        <f>G91</f>
        <v>48.36</v>
      </c>
      <c r="G121" s="657"/>
    </row>
    <row r="122" spans="2:7" ht="12.75" x14ac:dyDescent="0.2">
      <c r="B122" s="657"/>
      <c r="C122" s="657"/>
      <c r="D122" s="1202" t="s">
        <v>630</v>
      </c>
      <c r="E122" s="1203"/>
      <c r="F122" s="659">
        <f>G88</f>
        <v>274.58999999999992</v>
      </c>
      <c r="G122" s="657"/>
    </row>
    <row r="123" spans="2:7" ht="12.75" x14ac:dyDescent="0.2">
      <c r="B123" s="657"/>
      <c r="C123" s="657"/>
      <c r="D123" s="660" t="s">
        <v>631</v>
      </c>
      <c r="E123" s="658"/>
      <c r="F123" s="661">
        <f>SUM(F121:F122)</f>
        <v>322.94999999999993</v>
      </c>
      <c r="G123" s="662" t="s">
        <v>632</v>
      </c>
    </row>
    <row r="124" spans="2:7" ht="12.75" x14ac:dyDescent="0.2">
      <c r="D124" s="542"/>
      <c r="E124" s="542"/>
      <c r="F124" s="542"/>
    </row>
  </sheetData>
  <mergeCells count="43">
    <mergeCell ref="D122:E122"/>
    <mergeCell ref="B113:F113"/>
    <mergeCell ref="B114:F114"/>
    <mergeCell ref="B115:F115"/>
    <mergeCell ref="B116:F116"/>
    <mergeCell ref="B117:F117"/>
    <mergeCell ref="B118:F118"/>
    <mergeCell ref="B110:F110"/>
    <mergeCell ref="B87:G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86:G86"/>
    <mergeCell ref="B50:F50"/>
    <mergeCell ref="B51:G51"/>
    <mergeCell ref="B52:G52"/>
    <mergeCell ref="B58:F58"/>
    <mergeCell ref="B59:F59"/>
    <mergeCell ref="B60:G60"/>
    <mergeCell ref="B61:G61"/>
    <mergeCell ref="B71:F71"/>
    <mergeCell ref="B73:G73"/>
    <mergeCell ref="B74:G74"/>
    <mergeCell ref="B84:F84"/>
    <mergeCell ref="B40:G40"/>
    <mergeCell ref="B1:F1"/>
    <mergeCell ref="B2:F2"/>
    <mergeCell ref="B3:G3"/>
    <mergeCell ref="B4:F4"/>
    <mergeCell ref="B5:F5"/>
    <mergeCell ref="B6:G6"/>
    <mergeCell ref="B15:F15"/>
    <mergeCell ref="B17:G17"/>
    <mergeCell ref="B26:F26"/>
    <mergeCell ref="B28:G28"/>
    <mergeCell ref="B38:F38"/>
  </mergeCells>
  <pageMargins left="0.59055118110236227" right="0.39370078740157483" top="0.70866141732283472" bottom="0.59055118110236227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G46"/>
  <sheetViews>
    <sheetView showGridLines="0" zoomScale="80" zoomScaleNormal="80" workbookViewId="0">
      <pane ySplit="1" topLeftCell="A25" activePane="bottomLeft" state="frozen"/>
      <selection activeCell="P60" sqref="P60"/>
      <selection pane="bottomLeft" activeCell="P60" sqref="P60"/>
    </sheetView>
  </sheetViews>
  <sheetFormatPr defaultRowHeight="12.75" x14ac:dyDescent="0.2"/>
  <cols>
    <col min="1" max="1" width="9.140625" style="542"/>
    <col min="2" max="2" width="3.5703125" style="542" customWidth="1"/>
    <col min="3" max="3" width="15" style="542" customWidth="1"/>
    <col min="4" max="4" width="3.5703125" style="542" customWidth="1"/>
    <col min="5" max="5" width="13.140625" style="542" customWidth="1"/>
    <col min="6" max="6" width="24.42578125" style="542" customWidth="1"/>
    <col min="7" max="7" width="31.5703125" style="542" customWidth="1"/>
    <col min="8" max="259" width="9.140625" style="542"/>
    <col min="260" max="260" width="3.5703125" style="542" customWidth="1"/>
    <col min="261" max="261" width="29.42578125" style="542" customWidth="1"/>
    <col min="262" max="262" width="24.42578125" style="542" customWidth="1"/>
    <col min="263" max="263" width="26.5703125" style="542" customWidth="1"/>
    <col min="264" max="515" width="9.140625" style="542"/>
    <col min="516" max="516" width="3.5703125" style="542" customWidth="1"/>
    <col min="517" max="517" width="29.42578125" style="542" customWidth="1"/>
    <col min="518" max="518" width="24.42578125" style="542" customWidth="1"/>
    <col min="519" max="519" width="26.5703125" style="542" customWidth="1"/>
    <col min="520" max="771" width="9.140625" style="542"/>
    <col min="772" max="772" width="3.5703125" style="542" customWidth="1"/>
    <col min="773" max="773" width="29.42578125" style="542" customWidth="1"/>
    <col min="774" max="774" width="24.42578125" style="542" customWidth="1"/>
    <col min="775" max="775" width="26.5703125" style="542" customWidth="1"/>
    <col min="776" max="1027" width="9.140625" style="542"/>
    <col min="1028" max="1028" width="3.5703125" style="542" customWidth="1"/>
    <col min="1029" max="1029" width="29.42578125" style="542" customWidth="1"/>
    <col min="1030" max="1030" width="24.42578125" style="542" customWidth="1"/>
    <col min="1031" max="1031" width="26.5703125" style="542" customWidth="1"/>
    <col min="1032" max="1283" width="9.140625" style="542"/>
    <col min="1284" max="1284" width="3.5703125" style="542" customWidth="1"/>
    <col min="1285" max="1285" width="29.42578125" style="542" customWidth="1"/>
    <col min="1286" max="1286" width="24.42578125" style="542" customWidth="1"/>
    <col min="1287" max="1287" width="26.5703125" style="542" customWidth="1"/>
    <col min="1288" max="1539" width="9.140625" style="542"/>
    <col min="1540" max="1540" width="3.5703125" style="542" customWidth="1"/>
    <col min="1541" max="1541" width="29.42578125" style="542" customWidth="1"/>
    <col min="1542" max="1542" width="24.42578125" style="542" customWidth="1"/>
    <col min="1543" max="1543" width="26.5703125" style="542" customWidth="1"/>
    <col min="1544" max="1795" width="9.140625" style="542"/>
    <col min="1796" max="1796" width="3.5703125" style="542" customWidth="1"/>
    <col min="1797" max="1797" width="29.42578125" style="542" customWidth="1"/>
    <col min="1798" max="1798" width="24.42578125" style="542" customWidth="1"/>
    <col min="1799" max="1799" width="26.5703125" style="542" customWidth="1"/>
    <col min="1800" max="2051" width="9.140625" style="542"/>
    <col min="2052" max="2052" width="3.5703125" style="542" customWidth="1"/>
    <col min="2053" max="2053" width="29.42578125" style="542" customWidth="1"/>
    <col min="2054" max="2054" width="24.42578125" style="542" customWidth="1"/>
    <col min="2055" max="2055" width="26.5703125" style="542" customWidth="1"/>
    <col min="2056" max="2307" width="9.140625" style="542"/>
    <col min="2308" max="2308" width="3.5703125" style="542" customWidth="1"/>
    <col min="2309" max="2309" width="29.42578125" style="542" customWidth="1"/>
    <col min="2310" max="2310" width="24.42578125" style="542" customWidth="1"/>
    <col min="2311" max="2311" width="26.5703125" style="542" customWidth="1"/>
    <col min="2312" max="2563" width="9.140625" style="542"/>
    <col min="2564" max="2564" width="3.5703125" style="542" customWidth="1"/>
    <col min="2565" max="2565" width="29.42578125" style="542" customWidth="1"/>
    <col min="2566" max="2566" width="24.42578125" style="542" customWidth="1"/>
    <col min="2567" max="2567" width="26.5703125" style="542" customWidth="1"/>
    <col min="2568" max="2819" width="9.140625" style="542"/>
    <col min="2820" max="2820" width="3.5703125" style="542" customWidth="1"/>
    <col min="2821" max="2821" width="29.42578125" style="542" customWidth="1"/>
    <col min="2822" max="2822" width="24.42578125" style="542" customWidth="1"/>
    <col min="2823" max="2823" width="26.5703125" style="542" customWidth="1"/>
    <col min="2824" max="3075" width="9.140625" style="542"/>
    <col min="3076" max="3076" width="3.5703125" style="542" customWidth="1"/>
    <col min="3077" max="3077" width="29.42578125" style="542" customWidth="1"/>
    <col min="3078" max="3078" width="24.42578125" style="542" customWidth="1"/>
    <col min="3079" max="3079" width="26.5703125" style="542" customWidth="1"/>
    <col min="3080" max="3331" width="9.140625" style="542"/>
    <col min="3332" max="3332" width="3.5703125" style="542" customWidth="1"/>
    <col min="3333" max="3333" width="29.42578125" style="542" customWidth="1"/>
    <col min="3334" max="3334" width="24.42578125" style="542" customWidth="1"/>
    <col min="3335" max="3335" width="26.5703125" style="542" customWidth="1"/>
    <col min="3336" max="3587" width="9.140625" style="542"/>
    <col min="3588" max="3588" width="3.5703125" style="542" customWidth="1"/>
    <col min="3589" max="3589" width="29.42578125" style="542" customWidth="1"/>
    <col min="3590" max="3590" width="24.42578125" style="542" customWidth="1"/>
    <col min="3591" max="3591" width="26.5703125" style="542" customWidth="1"/>
    <col min="3592" max="3843" width="9.140625" style="542"/>
    <col min="3844" max="3844" width="3.5703125" style="542" customWidth="1"/>
    <col min="3845" max="3845" width="29.42578125" style="542" customWidth="1"/>
    <col min="3846" max="3846" width="24.42578125" style="542" customWidth="1"/>
    <col min="3847" max="3847" width="26.5703125" style="542" customWidth="1"/>
    <col min="3848" max="4099" width="9.140625" style="542"/>
    <col min="4100" max="4100" width="3.5703125" style="542" customWidth="1"/>
    <col min="4101" max="4101" width="29.42578125" style="542" customWidth="1"/>
    <col min="4102" max="4102" width="24.42578125" style="542" customWidth="1"/>
    <col min="4103" max="4103" width="26.5703125" style="542" customWidth="1"/>
    <col min="4104" max="4355" width="9.140625" style="542"/>
    <col min="4356" max="4356" width="3.5703125" style="542" customWidth="1"/>
    <col min="4357" max="4357" width="29.42578125" style="542" customWidth="1"/>
    <col min="4358" max="4358" width="24.42578125" style="542" customWidth="1"/>
    <col min="4359" max="4359" width="26.5703125" style="542" customWidth="1"/>
    <col min="4360" max="4611" width="9.140625" style="542"/>
    <col min="4612" max="4612" width="3.5703125" style="542" customWidth="1"/>
    <col min="4613" max="4613" width="29.42578125" style="542" customWidth="1"/>
    <col min="4614" max="4614" width="24.42578125" style="542" customWidth="1"/>
    <col min="4615" max="4615" width="26.5703125" style="542" customWidth="1"/>
    <col min="4616" max="4867" width="9.140625" style="542"/>
    <col min="4868" max="4868" width="3.5703125" style="542" customWidth="1"/>
    <col min="4869" max="4869" width="29.42578125" style="542" customWidth="1"/>
    <col min="4870" max="4870" width="24.42578125" style="542" customWidth="1"/>
    <col min="4871" max="4871" width="26.5703125" style="542" customWidth="1"/>
    <col min="4872" max="5123" width="9.140625" style="542"/>
    <col min="5124" max="5124" width="3.5703125" style="542" customWidth="1"/>
    <col min="5125" max="5125" width="29.42578125" style="542" customWidth="1"/>
    <col min="5126" max="5126" width="24.42578125" style="542" customWidth="1"/>
    <col min="5127" max="5127" width="26.5703125" style="542" customWidth="1"/>
    <col min="5128" max="5379" width="9.140625" style="542"/>
    <col min="5380" max="5380" width="3.5703125" style="542" customWidth="1"/>
    <col min="5381" max="5381" width="29.42578125" style="542" customWidth="1"/>
    <col min="5382" max="5382" width="24.42578125" style="542" customWidth="1"/>
    <col min="5383" max="5383" width="26.5703125" style="542" customWidth="1"/>
    <col min="5384" max="5635" width="9.140625" style="542"/>
    <col min="5636" max="5636" width="3.5703125" style="542" customWidth="1"/>
    <col min="5637" max="5637" width="29.42578125" style="542" customWidth="1"/>
    <col min="5638" max="5638" width="24.42578125" style="542" customWidth="1"/>
    <col min="5639" max="5639" width="26.5703125" style="542" customWidth="1"/>
    <col min="5640" max="5891" width="9.140625" style="542"/>
    <col min="5892" max="5892" width="3.5703125" style="542" customWidth="1"/>
    <col min="5893" max="5893" width="29.42578125" style="542" customWidth="1"/>
    <col min="5894" max="5894" width="24.42578125" style="542" customWidth="1"/>
    <col min="5895" max="5895" width="26.5703125" style="542" customWidth="1"/>
    <col min="5896" max="6147" width="9.140625" style="542"/>
    <col min="6148" max="6148" width="3.5703125" style="542" customWidth="1"/>
    <col min="6149" max="6149" width="29.42578125" style="542" customWidth="1"/>
    <col min="6150" max="6150" width="24.42578125" style="542" customWidth="1"/>
    <col min="6151" max="6151" width="26.5703125" style="542" customWidth="1"/>
    <col min="6152" max="6403" width="9.140625" style="542"/>
    <col min="6404" max="6404" width="3.5703125" style="542" customWidth="1"/>
    <col min="6405" max="6405" width="29.42578125" style="542" customWidth="1"/>
    <col min="6406" max="6406" width="24.42578125" style="542" customWidth="1"/>
    <col min="6407" max="6407" width="26.5703125" style="542" customWidth="1"/>
    <col min="6408" max="6659" width="9.140625" style="542"/>
    <col min="6660" max="6660" width="3.5703125" style="542" customWidth="1"/>
    <col min="6661" max="6661" width="29.42578125" style="542" customWidth="1"/>
    <col min="6662" max="6662" width="24.42578125" style="542" customWidth="1"/>
    <col min="6663" max="6663" width="26.5703125" style="542" customWidth="1"/>
    <col min="6664" max="6915" width="9.140625" style="542"/>
    <col min="6916" max="6916" width="3.5703125" style="542" customWidth="1"/>
    <col min="6917" max="6917" width="29.42578125" style="542" customWidth="1"/>
    <col min="6918" max="6918" width="24.42578125" style="542" customWidth="1"/>
    <col min="6919" max="6919" width="26.5703125" style="542" customWidth="1"/>
    <col min="6920" max="7171" width="9.140625" style="542"/>
    <col min="7172" max="7172" width="3.5703125" style="542" customWidth="1"/>
    <col min="7173" max="7173" width="29.42578125" style="542" customWidth="1"/>
    <col min="7174" max="7174" width="24.42578125" style="542" customWidth="1"/>
    <col min="7175" max="7175" width="26.5703125" style="542" customWidth="1"/>
    <col min="7176" max="7427" width="9.140625" style="542"/>
    <col min="7428" max="7428" width="3.5703125" style="542" customWidth="1"/>
    <col min="7429" max="7429" width="29.42578125" style="542" customWidth="1"/>
    <col min="7430" max="7430" width="24.42578125" style="542" customWidth="1"/>
    <col min="7431" max="7431" width="26.5703125" style="542" customWidth="1"/>
    <col min="7432" max="7683" width="9.140625" style="542"/>
    <col min="7684" max="7684" width="3.5703125" style="542" customWidth="1"/>
    <col min="7685" max="7685" width="29.42578125" style="542" customWidth="1"/>
    <col min="7686" max="7686" width="24.42578125" style="542" customWidth="1"/>
    <col min="7687" max="7687" width="26.5703125" style="542" customWidth="1"/>
    <col min="7688" max="7939" width="9.140625" style="542"/>
    <col min="7940" max="7940" width="3.5703125" style="542" customWidth="1"/>
    <col min="7941" max="7941" width="29.42578125" style="542" customWidth="1"/>
    <col min="7942" max="7942" width="24.42578125" style="542" customWidth="1"/>
    <col min="7943" max="7943" width="26.5703125" style="542" customWidth="1"/>
    <col min="7944" max="8195" width="9.140625" style="542"/>
    <col min="8196" max="8196" width="3.5703125" style="542" customWidth="1"/>
    <col min="8197" max="8197" width="29.42578125" style="542" customWidth="1"/>
    <col min="8198" max="8198" width="24.42578125" style="542" customWidth="1"/>
    <col min="8199" max="8199" width="26.5703125" style="542" customWidth="1"/>
    <col min="8200" max="8451" width="9.140625" style="542"/>
    <col min="8452" max="8452" width="3.5703125" style="542" customWidth="1"/>
    <col min="8453" max="8453" width="29.42578125" style="542" customWidth="1"/>
    <col min="8454" max="8454" width="24.42578125" style="542" customWidth="1"/>
    <col min="8455" max="8455" width="26.5703125" style="542" customWidth="1"/>
    <col min="8456" max="8707" width="9.140625" style="542"/>
    <col min="8708" max="8708" width="3.5703125" style="542" customWidth="1"/>
    <col min="8709" max="8709" width="29.42578125" style="542" customWidth="1"/>
    <col min="8710" max="8710" width="24.42578125" style="542" customWidth="1"/>
    <col min="8711" max="8711" width="26.5703125" style="542" customWidth="1"/>
    <col min="8712" max="8963" width="9.140625" style="542"/>
    <col min="8964" max="8964" width="3.5703125" style="542" customWidth="1"/>
    <col min="8965" max="8965" width="29.42578125" style="542" customWidth="1"/>
    <col min="8966" max="8966" width="24.42578125" style="542" customWidth="1"/>
    <col min="8967" max="8967" width="26.5703125" style="542" customWidth="1"/>
    <col min="8968" max="9219" width="9.140625" style="542"/>
    <col min="9220" max="9220" width="3.5703125" style="542" customWidth="1"/>
    <col min="9221" max="9221" width="29.42578125" style="542" customWidth="1"/>
    <col min="9222" max="9222" width="24.42578125" style="542" customWidth="1"/>
    <col min="9223" max="9223" width="26.5703125" style="542" customWidth="1"/>
    <col min="9224" max="9475" width="9.140625" style="542"/>
    <col min="9476" max="9476" width="3.5703125" style="542" customWidth="1"/>
    <col min="9477" max="9477" width="29.42578125" style="542" customWidth="1"/>
    <col min="9478" max="9478" width="24.42578125" style="542" customWidth="1"/>
    <col min="9479" max="9479" width="26.5703125" style="542" customWidth="1"/>
    <col min="9480" max="9731" width="9.140625" style="542"/>
    <col min="9732" max="9732" width="3.5703125" style="542" customWidth="1"/>
    <col min="9733" max="9733" width="29.42578125" style="542" customWidth="1"/>
    <col min="9734" max="9734" width="24.42578125" style="542" customWidth="1"/>
    <col min="9735" max="9735" width="26.5703125" style="542" customWidth="1"/>
    <col min="9736" max="9987" width="9.140625" style="542"/>
    <col min="9988" max="9988" width="3.5703125" style="542" customWidth="1"/>
    <col min="9989" max="9989" width="29.42578125" style="542" customWidth="1"/>
    <col min="9990" max="9990" width="24.42578125" style="542" customWidth="1"/>
    <col min="9991" max="9991" width="26.5703125" style="542" customWidth="1"/>
    <col min="9992" max="10243" width="9.140625" style="542"/>
    <col min="10244" max="10244" width="3.5703125" style="542" customWidth="1"/>
    <col min="10245" max="10245" width="29.42578125" style="542" customWidth="1"/>
    <col min="10246" max="10246" width="24.42578125" style="542" customWidth="1"/>
    <col min="10247" max="10247" width="26.5703125" style="542" customWidth="1"/>
    <col min="10248" max="10499" width="9.140625" style="542"/>
    <col min="10500" max="10500" width="3.5703125" style="542" customWidth="1"/>
    <col min="10501" max="10501" width="29.42578125" style="542" customWidth="1"/>
    <col min="10502" max="10502" width="24.42578125" style="542" customWidth="1"/>
    <col min="10503" max="10503" width="26.5703125" style="542" customWidth="1"/>
    <col min="10504" max="10755" width="9.140625" style="542"/>
    <col min="10756" max="10756" width="3.5703125" style="542" customWidth="1"/>
    <col min="10757" max="10757" width="29.42578125" style="542" customWidth="1"/>
    <col min="10758" max="10758" width="24.42578125" style="542" customWidth="1"/>
    <col min="10759" max="10759" width="26.5703125" style="542" customWidth="1"/>
    <col min="10760" max="11011" width="9.140625" style="542"/>
    <col min="11012" max="11012" width="3.5703125" style="542" customWidth="1"/>
    <col min="11013" max="11013" width="29.42578125" style="542" customWidth="1"/>
    <col min="11014" max="11014" width="24.42578125" style="542" customWidth="1"/>
    <col min="11015" max="11015" width="26.5703125" style="542" customWidth="1"/>
    <col min="11016" max="11267" width="9.140625" style="542"/>
    <col min="11268" max="11268" width="3.5703125" style="542" customWidth="1"/>
    <col min="11269" max="11269" width="29.42578125" style="542" customWidth="1"/>
    <col min="11270" max="11270" width="24.42578125" style="542" customWidth="1"/>
    <col min="11271" max="11271" width="26.5703125" style="542" customWidth="1"/>
    <col min="11272" max="11523" width="9.140625" style="542"/>
    <col min="11524" max="11524" width="3.5703125" style="542" customWidth="1"/>
    <col min="11525" max="11525" width="29.42578125" style="542" customWidth="1"/>
    <col min="11526" max="11526" width="24.42578125" style="542" customWidth="1"/>
    <col min="11527" max="11527" width="26.5703125" style="542" customWidth="1"/>
    <col min="11528" max="11779" width="9.140625" style="542"/>
    <col min="11780" max="11780" width="3.5703125" style="542" customWidth="1"/>
    <col min="11781" max="11781" width="29.42578125" style="542" customWidth="1"/>
    <col min="11782" max="11782" width="24.42578125" style="542" customWidth="1"/>
    <col min="11783" max="11783" width="26.5703125" style="542" customWidth="1"/>
    <col min="11784" max="12035" width="9.140625" style="542"/>
    <col min="12036" max="12036" width="3.5703125" style="542" customWidth="1"/>
    <col min="12037" max="12037" width="29.42578125" style="542" customWidth="1"/>
    <col min="12038" max="12038" width="24.42578125" style="542" customWidth="1"/>
    <col min="12039" max="12039" width="26.5703125" style="542" customWidth="1"/>
    <col min="12040" max="12291" width="9.140625" style="542"/>
    <col min="12292" max="12292" width="3.5703125" style="542" customWidth="1"/>
    <col min="12293" max="12293" width="29.42578125" style="542" customWidth="1"/>
    <col min="12294" max="12294" width="24.42578125" style="542" customWidth="1"/>
    <col min="12295" max="12295" width="26.5703125" style="542" customWidth="1"/>
    <col min="12296" max="12547" width="9.140625" style="542"/>
    <col min="12548" max="12548" width="3.5703125" style="542" customWidth="1"/>
    <col min="12549" max="12549" width="29.42578125" style="542" customWidth="1"/>
    <col min="12550" max="12550" width="24.42578125" style="542" customWidth="1"/>
    <col min="12551" max="12551" width="26.5703125" style="542" customWidth="1"/>
    <col min="12552" max="12803" width="9.140625" style="542"/>
    <col min="12804" max="12804" width="3.5703125" style="542" customWidth="1"/>
    <col min="12805" max="12805" width="29.42578125" style="542" customWidth="1"/>
    <col min="12806" max="12806" width="24.42578125" style="542" customWidth="1"/>
    <col min="12807" max="12807" width="26.5703125" style="542" customWidth="1"/>
    <col min="12808" max="13059" width="9.140625" style="542"/>
    <col min="13060" max="13060" width="3.5703125" style="542" customWidth="1"/>
    <col min="13061" max="13061" width="29.42578125" style="542" customWidth="1"/>
    <col min="13062" max="13062" width="24.42578125" style="542" customWidth="1"/>
    <col min="13063" max="13063" width="26.5703125" style="542" customWidth="1"/>
    <col min="13064" max="13315" width="9.140625" style="542"/>
    <col min="13316" max="13316" width="3.5703125" style="542" customWidth="1"/>
    <col min="13317" max="13317" width="29.42578125" style="542" customWidth="1"/>
    <col min="13318" max="13318" width="24.42578125" style="542" customWidth="1"/>
    <col min="13319" max="13319" width="26.5703125" style="542" customWidth="1"/>
    <col min="13320" max="13571" width="9.140625" style="542"/>
    <col min="13572" max="13572" width="3.5703125" style="542" customWidth="1"/>
    <col min="13573" max="13573" width="29.42578125" style="542" customWidth="1"/>
    <col min="13574" max="13574" width="24.42578125" style="542" customWidth="1"/>
    <col min="13575" max="13575" width="26.5703125" style="542" customWidth="1"/>
    <col min="13576" max="13827" width="9.140625" style="542"/>
    <col min="13828" max="13828" width="3.5703125" style="542" customWidth="1"/>
    <col min="13829" max="13829" width="29.42578125" style="542" customWidth="1"/>
    <col min="13830" max="13830" width="24.42578125" style="542" customWidth="1"/>
    <col min="13831" max="13831" width="26.5703125" style="542" customWidth="1"/>
    <col min="13832" max="14083" width="9.140625" style="542"/>
    <col min="14084" max="14084" width="3.5703125" style="542" customWidth="1"/>
    <col min="14085" max="14085" width="29.42578125" style="542" customWidth="1"/>
    <col min="14086" max="14086" width="24.42578125" style="542" customWidth="1"/>
    <col min="14087" max="14087" width="26.5703125" style="542" customWidth="1"/>
    <col min="14088" max="14339" width="9.140625" style="542"/>
    <col min="14340" max="14340" width="3.5703125" style="542" customWidth="1"/>
    <col min="14341" max="14341" width="29.42578125" style="542" customWidth="1"/>
    <col min="14342" max="14342" width="24.42578125" style="542" customWidth="1"/>
    <col min="14343" max="14343" width="26.5703125" style="542" customWidth="1"/>
    <col min="14344" max="14595" width="9.140625" style="542"/>
    <col min="14596" max="14596" width="3.5703125" style="542" customWidth="1"/>
    <col min="14597" max="14597" width="29.42578125" style="542" customWidth="1"/>
    <col min="14598" max="14598" width="24.42578125" style="542" customWidth="1"/>
    <col min="14599" max="14599" width="26.5703125" style="542" customWidth="1"/>
    <col min="14600" max="14851" width="9.140625" style="542"/>
    <col min="14852" max="14852" width="3.5703125" style="542" customWidth="1"/>
    <col min="14853" max="14853" width="29.42578125" style="542" customWidth="1"/>
    <col min="14854" max="14854" width="24.42578125" style="542" customWidth="1"/>
    <col min="14855" max="14855" width="26.5703125" style="542" customWidth="1"/>
    <col min="14856" max="15107" width="9.140625" style="542"/>
    <col min="15108" max="15108" width="3.5703125" style="542" customWidth="1"/>
    <col min="15109" max="15109" width="29.42578125" style="542" customWidth="1"/>
    <col min="15110" max="15110" width="24.42578125" style="542" customWidth="1"/>
    <col min="15111" max="15111" width="26.5703125" style="542" customWidth="1"/>
    <col min="15112" max="15363" width="9.140625" style="542"/>
    <col min="15364" max="15364" width="3.5703125" style="542" customWidth="1"/>
    <col min="15365" max="15365" width="29.42578125" style="542" customWidth="1"/>
    <col min="15366" max="15366" width="24.42578125" style="542" customWidth="1"/>
    <col min="15367" max="15367" width="26.5703125" style="542" customWidth="1"/>
    <col min="15368" max="15619" width="9.140625" style="542"/>
    <col min="15620" max="15620" width="3.5703125" style="542" customWidth="1"/>
    <col min="15621" max="15621" width="29.42578125" style="542" customWidth="1"/>
    <col min="15622" max="15622" width="24.42578125" style="542" customWidth="1"/>
    <col min="15623" max="15623" width="26.5703125" style="542" customWidth="1"/>
    <col min="15624" max="15875" width="9.140625" style="542"/>
    <col min="15876" max="15876" width="3.5703125" style="542" customWidth="1"/>
    <col min="15877" max="15877" width="29.42578125" style="542" customWidth="1"/>
    <col min="15878" max="15878" width="24.42578125" style="542" customWidth="1"/>
    <col min="15879" max="15879" width="26.5703125" style="542" customWidth="1"/>
    <col min="15880" max="16131" width="9.140625" style="542"/>
    <col min="16132" max="16132" width="3.5703125" style="542" customWidth="1"/>
    <col min="16133" max="16133" width="29.42578125" style="542" customWidth="1"/>
    <col min="16134" max="16134" width="24.42578125" style="542" customWidth="1"/>
    <col min="16135" max="16135" width="26.5703125" style="542" customWidth="1"/>
    <col min="16136" max="16384" width="9.140625" style="542"/>
  </cols>
  <sheetData>
    <row r="1" spans="2:7" ht="33" customHeight="1" thickBot="1" x14ac:dyDescent="0.25">
      <c r="B1" s="1208" t="s">
        <v>215</v>
      </c>
      <c r="C1" s="1209"/>
      <c r="D1" s="1209"/>
      <c r="E1" s="1210"/>
      <c r="F1" s="1210"/>
      <c r="G1" s="604" t="str">
        <f>Resumo!F3</f>
        <v>PORTARIA n.º 423/2025</v>
      </c>
    </row>
    <row r="2" spans="2:7" ht="8.25" customHeight="1" thickBot="1" x14ac:dyDescent="0.25">
      <c r="B2" s="605"/>
      <c r="C2" s="605"/>
      <c r="D2" s="605"/>
      <c r="E2" s="605"/>
      <c r="F2" s="605"/>
      <c r="G2" s="605"/>
    </row>
    <row r="3" spans="2:7" ht="12.75" customHeight="1" x14ac:dyDescent="0.2">
      <c r="B3" s="1211" t="s">
        <v>216</v>
      </c>
      <c r="C3" s="1212"/>
      <c r="D3" s="1212"/>
      <c r="E3" s="1213"/>
      <c r="F3" s="1217" t="s">
        <v>217</v>
      </c>
      <c r="G3" s="1219" t="s">
        <v>7</v>
      </c>
    </row>
    <row r="4" spans="2:7" ht="22.5" customHeight="1" x14ac:dyDescent="0.2">
      <c r="B4" s="1214"/>
      <c r="C4" s="1215"/>
      <c r="D4" s="1215"/>
      <c r="E4" s="1216"/>
      <c r="F4" s="1218"/>
      <c r="G4" s="1220"/>
    </row>
    <row r="5" spans="2:7" s="608" customFormat="1" ht="16.5" customHeight="1" x14ac:dyDescent="0.2">
      <c r="B5" s="18" t="s">
        <v>166</v>
      </c>
      <c r="C5" s="4">
        <f>MATRIZ!C214</f>
        <v>0.01</v>
      </c>
      <c r="D5" s="4" t="s">
        <v>11</v>
      </c>
      <c r="E5" s="4">
        <f>MATRIZ!F214</f>
        <v>286.33</v>
      </c>
      <c r="F5" s="606" t="s">
        <v>221</v>
      </c>
      <c r="G5" s="607">
        <f>PROTESTO!O4</f>
        <v>39.58</v>
      </c>
    </row>
    <row r="6" spans="2:7" s="608" customFormat="1" ht="16.5" customHeight="1" x14ac:dyDescent="0.2">
      <c r="B6" s="18" t="s">
        <v>12</v>
      </c>
      <c r="C6" s="4">
        <f>MATRIZ!C215</f>
        <v>286.33999999999997</v>
      </c>
      <c r="D6" s="4" t="s">
        <v>11</v>
      </c>
      <c r="E6" s="4">
        <f>MATRIZ!F215</f>
        <v>357.95</v>
      </c>
      <c r="F6" s="609" t="s">
        <v>221</v>
      </c>
      <c r="G6" s="607">
        <f>PROTESTO!O5</f>
        <v>49.44</v>
      </c>
    </row>
    <row r="7" spans="2:7" s="608" customFormat="1" ht="16.5" customHeight="1" x14ac:dyDescent="0.2">
      <c r="B7" s="18" t="s">
        <v>13</v>
      </c>
      <c r="C7" s="4">
        <f>MATRIZ!C216</f>
        <v>357.96</v>
      </c>
      <c r="D7" s="4" t="s">
        <v>11</v>
      </c>
      <c r="E7" s="4">
        <f>MATRIZ!F216</f>
        <v>447.45</v>
      </c>
      <c r="F7" s="609" t="s">
        <v>221</v>
      </c>
      <c r="G7" s="607">
        <f>PROTESTO!O6</f>
        <v>61.82</v>
      </c>
    </row>
    <row r="8" spans="2:7" s="608" customFormat="1" ht="16.5" customHeight="1" x14ac:dyDescent="0.2">
      <c r="B8" s="18" t="s">
        <v>14</v>
      </c>
      <c r="C8" s="4">
        <f>MATRIZ!C217</f>
        <v>447.46</v>
      </c>
      <c r="D8" s="4" t="s">
        <v>11</v>
      </c>
      <c r="E8" s="4">
        <f>MATRIZ!F217</f>
        <v>559.34</v>
      </c>
      <c r="F8" s="609" t="s">
        <v>221</v>
      </c>
      <c r="G8" s="607">
        <f>PROTESTO!O7</f>
        <v>77.27</v>
      </c>
    </row>
    <row r="9" spans="2:7" s="608" customFormat="1" ht="16.5" customHeight="1" x14ac:dyDescent="0.2">
      <c r="B9" s="18" t="s">
        <v>15</v>
      </c>
      <c r="C9" s="4">
        <f>MATRIZ!C218</f>
        <v>559.35</v>
      </c>
      <c r="D9" s="4" t="s">
        <v>11</v>
      </c>
      <c r="E9" s="4">
        <f>MATRIZ!F218</f>
        <v>669.19</v>
      </c>
      <c r="F9" s="609" t="s">
        <v>221</v>
      </c>
      <c r="G9" s="607">
        <f>PROTESTO!O8</f>
        <v>96.610000000000014</v>
      </c>
    </row>
    <row r="10" spans="2:7" s="608" customFormat="1" ht="16.5" customHeight="1" x14ac:dyDescent="0.2">
      <c r="B10" s="18" t="s">
        <v>16</v>
      </c>
      <c r="C10" s="4">
        <f>MATRIZ!C219</f>
        <v>669.2</v>
      </c>
      <c r="D10" s="4" t="s">
        <v>11</v>
      </c>
      <c r="E10" s="4">
        <f>MATRIZ!F219</f>
        <v>874</v>
      </c>
      <c r="F10" s="609" t="s">
        <v>221</v>
      </c>
      <c r="G10" s="607">
        <f>PROTESTO!O9</f>
        <v>120.77999999999999</v>
      </c>
    </row>
    <row r="11" spans="2:7" s="608" customFormat="1" ht="16.5" customHeight="1" x14ac:dyDescent="0.2">
      <c r="B11" s="18" t="s">
        <v>17</v>
      </c>
      <c r="C11" s="4">
        <f>MATRIZ!C220</f>
        <v>874.01</v>
      </c>
      <c r="D11" s="4" t="s">
        <v>11</v>
      </c>
      <c r="E11" s="4">
        <f>MATRIZ!F220</f>
        <v>1092.54</v>
      </c>
      <c r="F11" s="609" t="s">
        <v>221</v>
      </c>
      <c r="G11" s="607">
        <f>PROTESTO!O10</f>
        <v>150.98999999999998</v>
      </c>
    </row>
    <row r="12" spans="2:7" s="608" customFormat="1" ht="16.5" customHeight="1" x14ac:dyDescent="0.2">
      <c r="B12" s="18" t="s">
        <v>167</v>
      </c>
      <c r="C12" s="4">
        <f>MATRIZ!C221</f>
        <v>1092.55</v>
      </c>
      <c r="D12" s="4" t="s">
        <v>11</v>
      </c>
      <c r="E12" s="4">
        <f>MATRIZ!F221</f>
        <v>1365.69</v>
      </c>
      <c r="F12" s="609" t="s">
        <v>221</v>
      </c>
      <c r="G12" s="607">
        <f>PROTESTO!O11</f>
        <v>188.73</v>
      </c>
    </row>
    <row r="13" spans="2:7" s="608" customFormat="1" ht="16.5" customHeight="1" x14ac:dyDescent="0.2">
      <c r="B13" s="18" t="s">
        <v>168</v>
      </c>
      <c r="C13" s="4">
        <f>MATRIZ!C222</f>
        <v>1365.7</v>
      </c>
      <c r="D13" s="4" t="s">
        <v>11</v>
      </c>
      <c r="E13" s="4">
        <f>MATRIZ!F222</f>
        <v>1707.13</v>
      </c>
      <c r="F13" s="609" t="s">
        <v>221</v>
      </c>
      <c r="G13" s="607">
        <f>PROTESTO!O12</f>
        <v>235.94</v>
      </c>
    </row>
    <row r="14" spans="2:7" s="608" customFormat="1" ht="16.5" customHeight="1" x14ac:dyDescent="0.2">
      <c r="B14" s="18" t="s">
        <v>169</v>
      </c>
      <c r="C14" s="4">
        <f>MATRIZ!C223</f>
        <v>1707.14</v>
      </c>
      <c r="D14" s="4" t="s">
        <v>11</v>
      </c>
      <c r="E14" s="4">
        <f>MATRIZ!F223</f>
        <v>2133.9299999999998</v>
      </c>
      <c r="F14" s="609" t="s">
        <v>221</v>
      </c>
      <c r="G14" s="607">
        <f>PROTESTO!O13</f>
        <v>294.95999999999998</v>
      </c>
    </row>
    <row r="15" spans="2:7" s="608" customFormat="1" ht="16.5" customHeight="1" x14ac:dyDescent="0.2">
      <c r="B15" s="18" t="s">
        <v>170</v>
      </c>
      <c r="C15" s="4">
        <f>MATRIZ!C224</f>
        <v>2133.94</v>
      </c>
      <c r="D15" s="4" t="s">
        <v>11</v>
      </c>
      <c r="E15" s="4">
        <f>MATRIZ!F224</f>
        <v>2667.42</v>
      </c>
      <c r="F15" s="609" t="s">
        <v>221</v>
      </c>
      <c r="G15" s="607">
        <f>PROTESTO!O14</f>
        <v>368.66</v>
      </c>
    </row>
    <row r="16" spans="2:7" s="608" customFormat="1" ht="16.5" customHeight="1" x14ac:dyDescent="0.2">
      <c r="B16" s="18" t="s">
        <v>171</v>
      </c>
      <c r="C16" s="4">
        <f>MATRIZ!C225</f>
        <v>2667.4300000000003</v>
      </c>
      <c r="D16" s="4" t="s">
        <v>11</v>
      </c>
      <c r="E16" s="4">
        <f>MATRIZ!F225</f>
        <v>3334.29</v>
      </c>
      <c r="F16" s="609" t="s">
        <v>221</v>
      </c>
      <c r="G16" s="607">
        <f>PROTESTO!O15</f>
        <v>460.85999999999996</v>
      </c>
    </row>
    <row r="17" spans="2:7" s="608" customFormat="1" ht="16.5" customHeight="1" x14ac:dyDescent="0.2">
      <c r="B17" s="18" t="s">
        <v>172</v>
      </c>
      <c r="C17" s="4">
        <f>MATRIZ!C226</f>
        <v>3334.3</v>
      </c>
      <c r="D17" s="4" t="s">
        <v>11</v>
      </c>
      <c r="E17" s="4">
        <f>MATRIZ!F226</f>
        <v>4167.88</v>
      </c>
      <c r="F17" s="609" t="s">
        <v>221</v>
      </c>
      <c r="G17" s="607">
        <f>PROTESTO!O16</f>
        <v>576.1099999999999</v>
      </c>
    </row>
    <row r="18" spans="2:7" s="608" customFormat="1" ht="16.5" customHeight="1" x14ac:dyDescent="0.2">
      <c r="B18" s="18" t="s">
        <v>173</v>
      </c>
      <c r="C18" s="4">
        <f>MATRIZ!C227</f>
        <v>4167.8900000000003</v>
      </c>
      <c r="D18" s="4" t="s">
        <v>11</v>
      </c>
      <c r="E18" s="4">
        <f>MATRIZ!F227</f>
        <v>5209.87</v>
      </c>
      <c r="F18" s="609" t="s">
        <v>221</v>
      </c>
      <c r="G18" s="607">
        <f>PROTESTO!O17</f>
        <v>720.15</v>
      </c>
    </row>
    <row r="19" spans="2:7" s="608" customFormat="1" ht="16.5" customHeight="1" x14ac:dyDescent="0.2">
      <c r="B19" s="18" t="s">
        <v>174</v>
      </c>
      <c r="C19" s="4">
        <f>MATRIZ!C228</f>
        <v>5209.88</v>
      </c>
      <c r="D19" s="4" t="s">
        <v>11</v>
      </c>
      <c r="E19" s="4">
        <f>MATRIZ!F228</f>
        <v>6512.36</v>
      </c>
      <c r="F19" s="609" t="s">
        <v>221</v>
      </c>
      <c r="G19" s="607">
        <f>PROTESTO!O18</f>
        <v>900.19999999999993</v>
      </c>
    </row>
    <row r="20" spans="2:7" s="608" customFormat="1" ht="16.5" customHeight="1" x14ac:dyDescent="0.2">
      <c r="B20" s="18" t="s">
        <v>175</v>
      </c>
      <c r="C20" s="4">
        <f>MATRIZ!C229</f>
        <v>6512.37</v>
      </c>
      <c r="D20" s="4" t="s">
        <v>11</v>
      </c>
      <c r="E20" s="4">
        <f>MATRIZ!F229</f>
        <v>8140.47</v>
      </c>
      <c r="F20" s="609" t="s">
        <v>221</v>
      </c>
      <c r="G20" s="607">
        <f>PROTESTO!O19</f>
        <v>1125.2700000000002</v>
      </c>
    </row>
    <row r="21" spans="2:7" s="608" customFormat="1" ht="16.5" customHeight="1" x14ac:dyDescent="0.2">
      <c r="B21" s="18" t="s">
        <v>176</v>
      </c>
      <c r="C21" s="4">
        <f>MATRIZ!C230</f>
        <v>8140.4800000000005</v>
      </c>
      <c r="D21" s="4" t="s">
        <v>11</v>
      </c>
      <c r="E21" s="4">
        <f>MATRIZ!F230</f>
        <v>16802.990000000002</v>
      </c>
      <c r="F21" s="609" t="s">
        <v>221</v>
      </c>
      <c r="G21" s="607">
        <f>PROTESTO!O20</f>
        <v>1326.82</v>
      </c>
    </row>
    <row r="22" spans="2:7" s="608" customFormat="1" ht="16.5" customHeight="1" x14ac:dyDescent="0.2">
      <c r="B22" s="18" t="s">
        <v>177</v>
      </c>
      <c r="C22" s="4">
        <f>MATRIZ!C231</f>
        <v>16803</v>
      </c>
      <c r="D22" s="4" t="s">
        <v>11</v>
      </c>
      <c r="E22" s="4">
        <f>MATRIZ!F231</f>
        <v>28601.46</v>
      </c>
      <c r="F22" s="609" t="s">
        <v>221</v>
      </c>
      <c r="G22" s="607">
        <f>PROTESTO!O21</f>
        <v>1439.68</v>
      </c>
    </row>
    <row r="23" spans="2:7" s="608" customFormat="1" ht="16.5" customHeight="1" thickBot="1" x14ac:dyDescent="0.25">
      <c r="B23" s="120" t="s">
        <v>178</v>
      </c>
      <c r="C23" s="458" t="s">
        <v>253</v>
      </c>
      <c r="D23" s="458"/>
      <c r="E23" s="458">
        <f>+E22+0.011</f>
        <v>28601.470999999998</v>
      </c>
      <c r="F23" s="610" t="s">
        <v>221</v>
      </c>
      <c r="G23" s="616">
        <f>PROTESTO!O22</f>
        <v>2156.87</v>
      </c>
    </row>
    <row r="24" spans="2:7" s="608" customFormat="1" ht="13.5" thickBot="1" x14ac:dyDescent="0.3">
      <c r="B24" s="611"/>
      <c r="C24" s="611"/>
      <c r="D24" s="611"/>
      <c r="E24" s="612"/>
      <c r="F24" s="611"/>
      <c r="G24" s="611"/>
    </row>
    <row r="25" spans="2:7" s="608" customFormat="1" ht="12.75" customHeight="1" x14ac:dyDescent="0.25">
      <c r="B25" s="1221" t="s">
        <v>224</v>
      </c>
      <c r="C25" s="1222"/>
      <c r="D25" s="1222"/>
      <c r="E25" s="1223"/>
      <c r="F25" s="1227" t="s">
        <v>217</v>
      </c>
      <c r="G25" s="1229" t="s">
        <v>7</v>
      </c>
    </row>
    <row r="26" spans="2:7" s="608" customFormat="1" ht="20.25" customHeight="1" thickBot="1" x14ac:dyDescent="0.3">
      <c r="B26" s="1224"/>
      <c r="C26" s="1225"/>
      <c r="D26" s="1225"/>
      <c r="E26" s="1226"/>
      <c r="F26" s="1228"/>
      <c r="G26" s="1230"/>
    </row>
    <row r="27" spans="2:7" s="608" customFormat="1" ht="15.75" customHeight="1" x14ac:dyDescent="0.25">
      <c r="B27" s="1234" t="s">
        <v>597</v>
      </c>
      <c r="C27" s="1235"/>
      <c r="D27" s="1235"/>
      <c r="E27" s="1236"/>
      <c r="F27" s="613" t="s">
        <v>598</v>
      </c>
      <c r="G27" s="614">
        <f>PROTESTO!O81</f>
        <v>94.93</v>
      </c>
    </row>
    <row r="28" spans="2:7" s="608" customFormat="1" ht="15.75" customHeight="1" x14ac:dyDescent="0.25">
      <c r="B28" s="1231" t="s">
        <v>558</v>
      </c>
      <c r="C28" s="1232"/>
      <c r="D28" s="1232"/>
      <c r="E28" s="1233"/>
      <c r="F28" s="609" t="s">
        <v>599</v>
      </c>
      <c r="G28" s="615" t="s">
        <v>559</v>
      </c>
    </row>
    <row r="29" spans="2:7" s="608" customFormat="1" ht="15.75" customHeight="1" x14ac:dyDescent="0.25">
      <c r="B29" s="1231" t="s">
        <v>226</v>
      </c>
      <c r="C29" s="1232"/>
      <c r="D29" s="1232"/>
      <c r="E29" s="1233"/>
      <c r="F29" s="609" t="s">
        <v>227</v>
      </c>
      <c r="G29" s="615">
        <f>PROTESTO!O83</f>
        <v>24.470000000000006</v>
      </c>
    </row>
    <row r="30" spans="2:7" s="608" customFormat="1" ht="15.75" customHeight="1" x14ac:dyDescent="0.25">
      <c r="B30" s="1231" t="s">
        <v>228</v>
      </c>
      <c r="C30" s="1232"/>
      <c r="D30" s="1232"/>
      <c r="E30" s="1233"/>
      <c r="F30" s="609" t="s">
        <v>229</v>
      </c>
      <c r="G30" s="615">
        <f>PROTESTO!O84</f>
        <v>10.17</v>
      </c>
    </row>
    <row r="31" spans="2:7" s="608" customFormat="1" ht="15.75" customHeight="1" x14ac:dyDescent="0.25">
      <c r="B31" s="1231" t="s">
        <v>600</v>
      </c>
      <c r="C31" s="1232"/>
      <c r="D31" s="1232"/>
      <c r="E31" s="1233"/>
      <c r="F31" s="609" t="s">
        <v>601</v>
      </c>
      <c r="G31" s="615">
        <f>PROTESTO!O85</f>
        <v>2.5399999999999996</v>
      </c>
    </row>
    <row r="32" spans="2:7" s="608" customFormat="1" ht="15.75" customHeight="1" x14ac:dyDescent="0.25">
      <c r="B32" s="1231" t="s">
        <v>231</v>
      </c>
      <c r="C32" s="1232"/>
      <c r="D32" s="1232"/>
      <c r="E32" s="1233"/>
      <c r="F32" s="609" t="s">
        <v>232</v>
      </c>
      <c r="G32" s="615">
        <f>PROTESTO!O86</f>
        <v>44.859999999999992</v>
      </c>
    </row>
    <row r="33" spans="2:7" s="608" customFormat="1" ht="15.75" customHeight="1" x14ac:dyDescent="0.25">
      <c r="B33" s="1231" t="s">
        <v>233</v>
      </c>
      <c r="C33" s="1232"/>
      <c r="D33" s="1232"/>
      <c r="E33" s="1233"/>
      <c r="F33" s="609" t="s">
        <v>101</v>
      </c>
      <c r="G33" s="615">
        <f>PROTESTO!O87</f>
        <v>44.859999999999992</v>
      </c>
    </row>
    <row r="34" spans="2:7" s="608" customFormat="1" ht="15.75" customHeight="1" x14ac:dyDescent="0.25">
      <c r="B34" s="1231" t="s">
        <v>234</v>
      </c>
      <c r="C34" s="1232"/>
      <c r="D34" s="1232"/>
      <c r="E34" s="1233"/>
      <c r="F34" s="609" t="s">
        <v>235</v>
      </c>
      <c r="G34" s="615">
        <f>PROTESTO!O88</f>
        <v>44.859999999999992</v>
      </c>
    </row>
    <row r="35" spans="2:7" s="608" customFormat="1" ht="15.75" customHeight="1" x14ac:dyDescent="0.25">
      <c r="B35" s="1231" t="s">
        <v>236</v>
      </c>
      <c r="C35" s="1232"/>
      <c r="D35" s="1232"/>
      <c r="E35" s="1233"/>
      <c r="F35" s="609" t="s">
        <v>237</v>
      </c>
      <c r="G35" s="615">
        <f>PROTESTO!O89</f>
        <v>44.859999999999992</v>
      </c>
    </row>
    <row r="36" spans="2:7" s="608" customFormat="1" ht="15.75" customHeight="1" x14ac:dyDescent="0.25">
      <c r="B36" s="1231" t="s">
        <v>238</v>
      </c>
      <c r="C36" s="1232"/>
      <c r="D36" s="1232"/>
      <c r="E36" s="1233"/>
      <c r="F36" s="609" t="s">
        <v>602</v>
      </c>
      <c r="G36" s="615">
        <f>PROTESTO!O90</f>
        <v>44.859999999999992</v>
      </c>
    </row>
    <row r="37" spans="2:7" s="608" customFormat="1" ht="15.75" customHeight="1" x14ac:dyDescent="0.25">
      <c r="B37" s="1231" t="s">
        <v>603</v>
      </c>
      <c r="C37" s="1232"/>
      <c r="D37" s="1232"/>
      <c r="E37" s="1233"/>
      <c r="F37" s="609" t="s">
        <v>237</v>
      </c>
      <c r="G37" s="615">
        <f>PROTESTO!O91</f>
        <v>44.859999999999992</v>
      </c>
    </row>
    <row r="38" spans="2:7" s="608" customFormat="1" ht="15.75" customHeight="1" x14ac:dyDescent="0.25">
      <c r="B38" s="1231" t="s">
        <v>604</v>
      </c>
      <c r="C38" s="1232"/>
      <c r="D38" s="1232"/>
      <c r="E38" s="1233"/>
      <c r="F38" s="609" t="s">
        <v>602</v>
      </c>
      <c r="G38" s="615">
        <f>PROTESTO!O92</f>
        <v>44.859999999999992</v>
      </c>
    </row>
    <row r="39" spans="2:7" s="608" customFormat="1" ht="15.75" customHeight="1" x14ac:dyDescent="0.25">
      <c r="B39" s="1231" t="s">
        <v>605</v>
      </c>
      <c r="C39" s="1232"/>
      <c r="D39" s="1232"/>
      <c r="E39" s="1233"/>
      <c r="F39" s="609" t="s">
        <v>237</v>
      </c>
      <c r="G39" s="615">
        <f>PROTESTO!O93</f>
        <v>41.989999999999995</v>
      </c>
    </row>
    <row r="40" spans="2:7" s="608" customFormat="1" ht="15.75" customHeight="1" x14ac:dyDescent="0.25">
      <c r="B40" s="1231" t="s">
        <v>606</v>
      </c>
      <c r="C40" s="1232"/>
      <c r="D40" s="1232"/>
      <c r="E40" s="1233"/>
      <c r="F40" s="609" t="s">
        <v>602</v>
      </c>
      <c r="G40" s="615">
        <f>PROTESTO!O94</f>
        <v>41.989999999999995</v>
      </c>
    </row>
    <row r="41" spans="2:7" s="608" customFormat="1" ht="15.75" customHeight="1" x14ac:dyDescent="0.25">
      <c r="B41" s="1231" t="s">
        <v>607</v>
      </c>
      <c r="C41" s="1232"/>
      <c r="D41" s="1232"/>
      <c r="E41" s="1233"/>
      <c r="F41" s="609" t="s">
        <v>239</v>
      </c>
      <c r="G41" s="615">
        <f>PROTESTO!O95</f>
        <v>22.84</v>
      </c>
    </row>
    <row r="42" spans="2:7" s="608" customFormat="1" ht="15.75" customHeight="1" x14ac:dyDescent="0.25">
      <c r="B42" s="1231" t="s">
        <v>240</v>
      </c>
      <c r="C42" s="1232"/>
      <c r="D42" s="1232"/>
      <c r="E42" s="1233"/>
      <c r="F42" s="609" t="s">
        <v>473</v>
      </c>
      <c r="G42" s="615">
        <f>PROTESTO!O96</f>
        <v>21.279999999999998</v>
      </c>
    </row>
    <row r="43" spans="2:7" ht="29.25" customHeight="1" x14ac:dyDescent="0.2">
      <c r="B43" s="1237" t="s">
        <v>241</v>
      </c>
      <c r="C43" s="1238"/>
      <c r="D43" s="1238"/>
      <c r="E43" s="1239"/>
      <c r="F43" s="609" t="s">
        <v>242</v>
      </c>
      <c r="G43" s="615" t="str">
        <f>PROTESTO!O97</f>
        <v/>
      </c>
    </row>
    <row r="44" spans="2:7" ht="30" customHeight="1" x14ac:dyDescent="0.2">
      <c r="B44" s="1237" t="s">
        <v>608</v>
      </c>
      <c r="C44" s="1238"/>
      <c r="D44" s="1238"/>
      <c r="E44" s="1239"/>
      <c r="F44" s="609" t="s">
        <v>243</v>
      </c>
      <c r="G44" s="615">
        <f>PROTESTO!O98</f>
        <v>0</v>
      </c>
    </row>
    <row r="45" spans="2:7" ht="31.5" customHeight="1" x14ac:dyDescent="0.2">
      <c r="B45" s="1237" t="s">
        <v>609</v>
      </c>
      <c r="C45" s="1238"/>
      <c r="D45" s="1238"/>
      <c r="E45" s="1239"/>
      <c r="F45" s="609" t="s">
        <v>244</v>
      </c>
      <c r="G45" s="615">
        <f>PROTESTO!O99</f>
        <v>0</v>
      </c>
    </row>
    <row r="46" spans="2:7" ht="13.5" thickBot="1" x14ac:dyDescent="0.25">
      <c r="B46" s="1240" t="s">
        <v>246</v>
      </c>
      <c r="C46" s="1241"/>
      <c r="D46" s="1241"/>
      <c r="E46" s="1242"/>
      <c r="F46" s="610" t="s">
        <v>232</v>
      </c>
      <c r="G46" s="616">
        <f>PROTESTO!O100</f>
        <v>0</v>
      </c>
    </row>
  </sheetData>
  <mergeCells count="27">
    <mergeCell ref="B45:E45"/>
    <mergeCell ref="B46:E46"/>
    <mergeCell ref="B39:E39"/>
    <mergeCell ref="B40:E40"/>
    <mergeCell ref="B41:E41"/>
    <mergeCell ref="B42:E42"/>
    <mergeCell ref="B43:E43"/>
    <mergeCell ref="B44:E44"/>
    <mergeCell ref="B38:E38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1:F1"/>
    <mergeCell ref="B3:E4"/>
    <mergeCell ref="F3:F4"/>
    <mergeCell ref="G3:G4"/>
    <mergeCell ref="B25:E26"/>
    <mergeCell ref="F25:F26"/>
    <mergeCell ref="G25:G26"/>
  </mergeCells>
  <pageMargins left="0.51181102362204722" right="0.31496062992125984" top="0.78740157480314965" bottom="0.78740157480314965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4"/>
  <sheetViews>
    <sheetView showGridLines="0" zoomScale="80" zoomScaleNormal="80" workbookViewId="0">
      <pane ySplit="3" topLeftCell="A22" activePane="bottomLeft" state="frozen"/>
      <selection activeCell="P60" sqref="P60"/>
      <selection pane="bottomLeft" activeCell="P60" sqref="P60"/>
    </sheetView>
  </sheetViews>
  <sheetFormatPr defaultRowHeight="12.75" x14ac:dyDescent="0.2"/>
  <cols>
    <col min="1" max="1" width="6.5703125" style="542" customWidth="1"/>
    <col min="2" max="2" width="12.7109375" style="542" customWidth="1"/>
    <col min="3" max="3" width="8.140625" style="542" customWidth="1"/>
    <col min="4" max="4" width="13.7109375" style="542" customWidth="1"/>
    <col min="5" max="5" width="34.140625" style="542" customWidth="1"/>
    <col min="6" max="6" width="26.5703125" style="542" bestFit="1" customWidth="1"/>
    <col min="7" max="16384" width="9.140625" style="542"/>
  </cols>
  <sheetData>
    <row r="1" spans="1:6" ht="39.75" customHeight="1" thickBot="1" x14ac:dyDescent="0.25">
      <c r="A1" s="1245" t="s">
        <v>590</v>
      </c>
      <c r="B1" s="1246"/>
      <c r="C1" s="1246"/>
      <c r="D1" s="1246"/>
      <c r="E1" s="1246"/>
      <c r="F1" s="597" t="str">
        <f>Resumo!F3</f>
        <v>PORTARIA n.º 423/2025</v>
      </c>
    </row>
    <row r="2" spans="1:6" ht="16.5" customHeight="1" x14ac:dyDescent="0.2">
      <c r="A2" s="1247" t="s">
        <v>1</v>
      </c>
      <c r="B2" s="1248"/>
      <c r="C2" s="1248"/>
      <c r="D2" s="1248"/>
      <c r="E2" s="1249"/>
      <c r="F2" s="1250" t="s">
        <v>7</v>
      </c>
    </row>
    <row r="3" spans="1:6" ht="9" customHeight="1" x14ac:dyDescent="0.2">
      <c r="A3" s="1247"/>
      <c r="B3" s="1248"/>
      <c r="C3" s="1248"/>
      <c r="D3" s="1248"/>
      <c r="E3" s="1249"/>
      <c r="F3" s="1251"/>
    </row>
    <row r="4" spans="1:6" ht="31.5" customHeight="1" x14ac:dyDescent="0.2">
      <c r="A4" s="1252" t="s">
        <v>591</v>
      </c>
      <c r="B4" s="1253"/>
      <c r="C4" s="1253"/>
      <c r="D4" s="1253"/>
      <c r="E4" s="1254"/>
      <c r="F4" s="598">
        <f>RCPJ!P4</f>
        <v>497.71000000000004</v>
      </c>
    </row>
    <row r="5" spans="1:6" ht="45.75" customHeight="1" x14ac:dyDescent="0.2">
      <c r="A5" s="1252" t="s">
        <v>592</v>
      </c>
      <c r="B5" s="1255"/>
      <c r="C5" s="1255"/>
      <c r="D5" s="1255"/>
      <c r="E5" s="1256"/>
      <c r="F5" s="598">
        <f>RCPJ!P5</f>
        <v>639.12999999999988</v>
      </c>
    </row>
    <row r="6" spans="1:6" ht="33.75" customHeight="1" x14ac:dyDescent="0.2">
      <c r="A6" s="1243" t="s">
        <v>593</v>
      </c>
      <c r="B6" s="1244"/>
      <c r="C6" s="1244"/>
      <c r="D6" s="1244"/>
      <c r="E6" s="1184"/>
      <c r="F6" s="598"/>
    </row>
    <row r="7" spans="1:6" ht="12" customHeight="1" x14ac:dyDescent="0.2">
      <c r="A7" s="599" t="s">
        <v>10</v>
      </c>
      <c r="B7" s="600">
        <f>RCPJ!C7</f>
        <v>0.01</v>
      </c>
      <c r="C7" s="601" t="s">
        <v>11</v>
      </c>
      <c r="D7" s="602">
        <f>RCPJ!F7</f>
        <v>614504.12</v>
      </c>
      <c r="E7" s="600"/>
      <c r="F7" s="598">
        <f>RCPJ!P7</f>
        <v>158.79999999999998</v>
      </c>
    </row>
    <row r="8" spans="1:6" ht="12.75" customHeight="1" x14ac:dyDescent="0.2">
      <c r="A8" s="599" t="s">
        <v>12</v>
      </c>
      <c r="B8" s="600">
        <f>RCPJ!C8</f>
        <v>614504.13</v>
      </c>
      <c r="C8" s="601" t="s">
        <v>11</v>
      </c>
      <c r="D8" s="602">
        <f>RCPJ!F8</f>
        <v>1843512.4</v>
      </c>
      <c r="E8" s="600"/>
      <c r="F8" s="598">
        <f>RCPJ!P8</f>
        <v>314.76</v>
      </c>
    </row>
    <row r="9" spans="1:6" ht="12.75" customHeight="1" x14ac:dyDescent="0.2">
      <c r="A9" s="599" t="s">
        <v>13</v>
      </c>
      <c r="B9" s="600">
        <f>RCPJ!C9</f>
        <v>1843512.41</v>
      </c>
      <c r="C9" s="601" t="s">
        <v>11</v>
      </c>
      <c r="D9" s="602">
        <f>RCPJ!F9</f>
        <v>3687024.81</v>
      </c>
      <c r="E9" s="600"/>
      <c r="F9" s="598">
        <f>RCPJ!P9</f>
        <v>626.66999999999996</v>
      </c>
    </row>
    <row r="10" spans="1:6" ht="12.75" customHeight="1" x14ac:dyDescent="0.2">
      <c r="A10" s="599" t="s">
        <v>14</v>
      </c>
      <c r="B10" s="600">
        <f>RCPJ!C10</f>
        <v>3687024.82</v>
      </c>
      <c r="C10" s="601" t="s">
        <v>11</v>
      </c>
      <c r="D10" s="602">
        <f>RCPJ!F10</f>
        <v>5530537.2199999997</v>
      </c>
      <c r="E10" s="600"/>
      <c r="F10" s="598">
        <f>RCPJ!P10</f>
        <v>938.58999999999992</v>
      </c>
    </row>
    <row r="11" spans="1:6" ht="12.75" customHeight="1" x14ac:dyDescent="0.2">
      <c r="A11" s="599" t="s">
        <v>15</v>
      </c>
      <c r="B11" s="600">
        <f>RCPJ!C11</f>
        <v>5530537.2299999995</v>
      </c>
      <c r="C11" s="601" t="s">
        <v>11</v>
      </c>
      <c r="D11" s="602">
        <f>RCPJ!F11</f>
        <v>7374049.6299999999</v>
      </c>
      <c r="E11" s="600"/>
      <c r="F11" s="598">
        <f>RCPJ!P11</f>
        <v>1250.5099999999998</v>
      </c>
    </row>
    <row r="12" spans="1:6" ht="12.75" customHeight="1" x14ac:dyDescent="0.2">
      <c r="A12" s="599" t="s">
        <v>16</v>
      </c>
      <c r="B12" s="600">
        <f>RCPJ!C12</f>
        <v>7374049.6399999997</v>
      </c>
      <c r="C12" s="601" t="s">
        <v>11</v>
      </c>
      <c r="D12" s="602">
        <f>RCPJ!F12</f>
        <v>9217562.0500000007</v>
      </c>
      <c r="E12" s="600"/>
      <c r="F12" s="598">
        <f>RCPJ!P12</f>
        <v>1562.4499999999996</v>
      </c>
    </row>
    <row r="13" spans="1:6" ht="16.5" customHeight="1" x14ac:dyDescent="0.2">
      <c r="A13" s="599" t="s">
        <v>17</v>
      </c>
      <c r="B13" s="1185" t="s">
        <v>646</v>
      </c>
      <c r="C13" s="1185"/>
      <c r="D13" s="1185"/>
      <c r="E13" s="1185"/>
      <c r="F13" s="598">
        <f>RCPJ!P13</f>
        <v>1874.3499999999995</v>
      </c>
    </row>
    <row r="14" spans="1:6" ht="34.5" customHeight="1" x14ac:dyDescent="0.2">
      <c r="A14" s="1252" t="s">
        <v>594</v>
      </c>
      <c r="B14" s="1257"/>
      <c r="C14" s="1257"/>
      <c r="D14" s="1257"/>
      <c r="E14" s="1187"/>
      <c r="F14" s="598">
        <f>RCPJ!P14</f>
        <v>297.40999999999997</v>
      </c>
    </row>
    <row r="15" spans="1:6" ht="23.25" customHeight="1" x14ac:dyDescent="0.2">
      <c r="A15" s="1252" t="s">
        <v>18</v>
      </c>
      <c r="B15" s="1257"/>
      <c r="C15" s="1257"/>
      <c r="D15" s="1257"/>
      <c r="E15" s="1187"/>
      <c r="F15" s="598">
        <f>RCPJ!P15</f>
        <v>349.38999999999993</v>
      </c>
    </row>
    <row r="16" spans="1:6" ht="48.75" customHeight="1" x14ac:dyDescent="0.2">
      <c r="A16" s="1243" t="s">
        <v>281</v>
      </c>
      <c r="B16" s="1244"/>
      <c r="C16" s="1244"/>
      <c r="D16" s="1244"/>
      <c r="E16" s="1184"/>
      <c r="F16" s="598">
        <f>RCPJ!P16</f>
        <v>124.14999999999999</v>
      </c>
    </row>
    <row r="17" spans="1:6" ht="28.5" customHeight="1" x14ac:dyDescent="0.2">
      <c r="A17" s="1243" t="s">
        <v>20</v>
      </c>
      <c r="B17" s="1244"/>
      <c r="C17" s="1244"/>
      <c r="D17" s="1244"/>
      <c r="E17" s="1184"/>
      <c r="F17" s="598">
        <f>RCPJ!P17</f>
        <v>228.09999999999997</v>
      </c>
    </row>
    <row r="18" spans="1:6" ht="31.5" customHeight="1" x14ac:dyDescent="0.2">
      <c r="A18" s="1243" t="s">
        <v>21</v>
      </c>
      <c r="B18" s="1244"/>
      <c r="C18" s="1244"/>
      <c r="D18" s="1244"/>
      <c r="E18" s="1184"/>
      <c r="F18" s="598">
        <f>RCPJ!P18</f>
        <v>89.47</v>
      </c>
    </row>
    <row r="19" spans="1:6" ht="17.25" customHeight="1" x14ac:dyDescent="0.2">
      <c r="A19" s="1243" t="s">
        <v>549</v>
      </c>
      <c r="B19" s="1244"/>
      <c r="C19" s="1244"/>
      <c r="D19" s="1244"/>
      <c r="E19" s="1184"/>
      <c r="F19" s="598">
        <f>RCPJ!P19</f>
        <v>297.40999999999997</v>
      </c>
    </row>
    <row r="20" spans="1:6" ht="21.75" customHeight="1" x14ac:dyDescent="0.2">
      <c r="A20" s="1243" t="s">
        <v>550</v>
      </c>
      <c r="B20" s="1244"/>
      <c r="C20" s="1244"/>
      <c r="D20" s="1244"/>
      <c r="E20" s="1184"/>
      <c r="F20" s="598">
        <f>RCPJ!P20</f>
        <v>14.689999999999998</v>
      </c>
    </row>
    <row r="21" spans="1:6" ht="28.5" customHeight="1" x14ac:dyDescent="0.2">
      <c r="A21" s="1243" t="s">
        <v>24</v>
      </c>
      <c r="B21" s="1244"/>
      <c r="C21" s="1244"/>
      <c r="D21" s="1244"/>
      <c r="E21" s="1184"/>
      <c r="F21" s="598">
        <f>RCPJ!P21</f>
        <v>193.44</v>
      </c>
    </row>
    <row r="22" spans="1:6" ht="21" customHeight="1" x14ac:dyDescent="0.2">
      <c r="A22" s="1243" t="s">
        <v>595</v>
      </c>
      <c r="B22" s="1244"/>
      <c r="C22" s="1244"/>
      <c r="D22" s="1244"/>
      <c r="E22" s="1184"/>
      <c r="F22" s="598">
        <f>RCPJ!P22</f>
        <v>9.49</v>
      </c>
    </row>
    <row r="23" spans="1:6" ht="18" customHeight="1" x14ac:dyDescent="0.2">
      <c r="A23" s="1243" t="s">
        <v>25</v>
      </c>
      <c r="B23" s="1244"/>
      <c r="C23" s="1244"/>
      <c r="D23" s="1244"/>
      <c r="E23" s="1184"/>
      <c r="F23" s="598">
        <f>RCPJ!P23</f>
        <v>280.09000000000003</v>
      </c>
    </row>
    <row r="24" spans="1:6" ht="17.25" customHeight="1" x14ac:dyDescent="0.2">
      <c r="A24" s="1243" t="s">
        <v>26</v>
      </c>
      <c r="B24" s="1244"/>
      <c r="C24" s="1244"/>
      <c r="D24" s="1244"/>
      <c r="E24" s="1184"/>
      <c r="F24" s="598">
        <f>RCPJ!P24</f>
        <v>176.10999999999999</v>
      </c>
    </row>
    <row r="25" spans="1:6" ht="20.25" customHeight="1" x14ac:dyDescent="0.2">
      <c r="A25" s="1243" t="s">
        <v>27</v>
      </c>
      <c r="B25" s="1244"/>
      <c r="C25" s="1244"/>
      <c r="D25" s="1244"/>
      <c r="E25" s="1184"/>
      <c r="F25" s="598">
        <f>RCPJ!P25</f>
        <v>384.06999999999994</v>
      </c>
    </row>
    <row r="26" spans="1:6" ht="18.75" customHeight="1" x14ac:dyDescent="0.2">
      <c r="A26" s="1243" t="s">
        <v>28</v>
      </c>
      <c r="B26" s="1244"/>
      <c r="C26" s="1244"/>
      <c r="D26" s="1244"/>
      <c r="E26" s="1184"/>
      <c r="F26" s="598">
        <f>RCPJ!P26</f>
        <v>366.75</v>
      </c>
    </row>
    <row r="27" spans="1:6" ht="18" customHeight="1" x14ac:dyDescent="0.2">
      <c r="A27" s="1243" t="s">
        <v>29</v>
      </c>
      <c r="B27" s="1244"/>
      <c r="C27" s="1244"/>
      <c r="D27" s="1244"/>
      <c r="E27" s="1184"/>
      <c r="F27" s="598">
        <f>RCPJ!P27</f>
        <v>54.82</v>
      </c>
    </row>
    <row r="28" spans="1:6" ht="47.25" customHeight="1" x14ac:dyDescent="0.2">
      <c r="A28" s="1243" t="s">
        <v>30</v>
      </c>
      <c r="B28" s="1244"/>
      <c r="C28" s="1244"/>
      <c r="D28" s="1244"/>
      <c r="E28" s="1184"/>
      <c r="F28" s="598">
        <f>RCPJ!P28</f>
        <v>176.10999999999999</v>
      </c>
    </row>
    <row r="29" spans="1:6" ht="18.75" customHeight="1" x14ac:dyDescent="0.2">
      <c r="A29" s="1243" t="s">
        <v>596</v>
      </c>
      <c r="B29" s="1244"/>
      <c r="C29" s="1244"/>
      <c r="D29" s="1244"/>
      <c r="E29" s="1184"/>
      <c r="F29" s="598">
        <f>RCPJ!P29</f>
        <v>8.6199999999999992</v>
      </c>
    </row>
    <row r="30" spans="1:6" ht="54.75" customHeight="1" x14ac:dyDescent="0.2">
      <c r="A30" s="1243" t="s">
        <v>31</v>
      </c>
      <c r="B30" s="1244"/>
      <c r="C30" s="1244"/>
      <c r="D30" s="1244"/>
      <c r="E30" s="1184"/>
      <c r="F30" s="598">
        <f>RCPJ!P30</f>
        <v>297.40999999999997</v>
      </c>
    </row>
    <row r="31" spans="1:6" ht="34.5" customHeight="1" thickBot="1" x14ac:dyDescent="0.25">
      <c r="A31" s="1258" t="s">
        <v>32</v>
      </c>
      <c r="B31" s="1259"/>
      <c r="C31" s="1259"/>
      <c r="D31" s="1259"/>
      <c r="E31" s="1260"/>
      <c r="F31" s="603">
        <f>RCPJ!P31</f>
        <v>297.40999999999997</v>
      </c>
    </row>
    <row r="32" spans="1:6" ht="14.25" x14ac:dyDescent="0.2">
      <c r="A32" s="1261"/>
      <c r="B32" s="1261"/>
      <c r="C32" s="1261"/>
      <c r="D32" s="1261"/>
      <c r="E32" s="1261"/>
    </row>
    <row r="33" spans="1:5" ht="14.25" x14ac:dyDescent="0.2">
      <c r="A33" s="1185"/>
      <c r="B33" s="1185"/>
      <c r="C33" s="1185"/>
      <c r="D33" s="1185"/>
      <c r="E33" s="1185"/>
    </row>
    <row r="34" spans="1:5" ht="14.25" x14ac:dyDescent="0.2">
      <c r="A34" s="1185"/>
      <c r="B34" s="1185"/>
      <c r="C34" s="1185"/>
      <c r="D34" s="1185"/>
      <c r="E34" s="1185"/>
    </row>
  </sheetData>
  <mergeCells count="28">
    <mergeCell ref="A31:E31"/>
    <mergeCell ref="A32:E32"/>
    <mergeCell ref="A33:E33"/>
    <mergeCell ref="A34:E34"/>
    <mergeCell ref="A25:E25"/>
    <mergeCell ref="A26:E26"/>
    <mergeCell ref="A27:E27"/>
    <mergeCell ref="A28:E28"/>
    <mergeCell ref="A29:E29"/>
    <mergeCell ref="A30:E30"/>
    <mergeCell ref="A24:E24"/>
    <mergeCell ref="B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6:E6"/>
    <mergeCell ref="A1:E1"/>
    <mergeCell ref="A2:E3"/>
    <mergeCell ref="F2:F3"/>
    <mergeCell ref="A4:E4"/>
    <mergeCell ref="A5:E5"/>
  </mergeCells>
  <printOptions horizontalCentered="1"/>
  <pageMargins left="0.78740157480314965" right="0.59055118110236227" top="0.78740157480314965" bottom="0.78740157480314965" header="0.31496062992125984" footer="0.31496062992125984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2"/>
  <sheetViews>
    <sheetView showGridLines="0" topLeftCell="B1" zoomScale="80" zoomScaleNormal="80" workbookViewId="0">
      <pane ySplit="2" topLeftCell="A3" activePane="bottomLeft" state="frozen"/>
      <selection activeCell="P60" sqref="P60"/>
      <selection pane="bottomLeft" activeCell="P60" sqref="P60"/>
    </sheetView>
  </sheetViews>
  <sheetFormatPr defaultRowHeight="15.75" x14ac:dyDescent="0.25"/>
  <cols>
    <col min="1" max="1" width="2.85546875" style="542" hidden="1" customWidth="1"/>
    <col min="2" max="2" width="4.140625" style="542" customWidth="1"/>
    <col min="3" max="3" width="17.7109375" style="542" bestFit="1" customWidth="1"/>
    <col min="4" max="4" width="11.42578125" style="542" customWidth="1"/>
    <col min="5" max="5" width="30.28515625" style="542" customWidth="1"/>
    <col min="6" max="6" width="21.7109375" style="542" customWidth="1"/>
    <col min="7" max="7" width="15.42578125" style="591" customWidth="1"/>
    <col min="8" max="16384" width="9.140625" style="542"/>
  </cols>
  <sheetData>
    <row r="1" spans="1:7" ht="21.75" customHeight="1" x14ac:dyDescent="0.2">
      <c r="A1" s="1262" t="s">
        <v>581</v>
      </c>
      <c r="B1" s="1263"/>
      <c r="C1" s="1263"/>
      <c r="D1" s="1263"/>
      <c r="E1" s="1263"/>
      <c r="F1" s="1266" t="str">
        <f>Resumo!F3</f>
        <v>PORTARIA n.º 423/2025</v>
      </c>
      <c r="G1" s="1267"/>
    </row>
    <row r="2" spans="1:7" ht="16.5" customHeight="1" x14ac:dyDescent="0.2">
      <c r="A2" s="1264"/>
      <c r="B2" s="1265"/>
      <c r="C2" s="1265"/>
      <c r="D2" s="1265"/>
      <c r="E2" s="1265"/>
      <c r="F2" s="1268"/>
      <c r="G2" s="1269"/>
    </row>
    <row r="3" spans="1:7" ht="21" customHeight="1" x14ac:dyDescent="0.2">
      <c r="A3" s="575"/>
      <c r="B3" s="1270" t="s">
        <v>582</v>
      </c>
      <c r="C3" s="1270"/>
      <c r="D3" s="1270"/>
      <c r="E3" s="1270"/>
      <c r="F3" s="1270"/>
      <c r="G3" s="1271" t="s">
        <v>7</v>
      </c>
    </row>
    <row r="4" spans="1:7" ht="16.5" customHeight="1" x14ac:dyDescent="0.2">
      <c r="A4" s="575"/>
      <c r="B4" s="1273" t="s">
        <v>583</v>
      </c>
      <c r="C4" s="1273"/>
      <c r="D4" s="1273"/>
      <c r="E4" s="1273"/>
      <c r="F4" s="1273"/>
      <c r="G4" s="1272"/>
    </row>
    <row r="5" spans="1:7" ht="18" customHeight="1" x14ac:dyDescent="0.2">
      <c r="A5" s="575"/>
      <c r="B5" s="576" t="s">
        <v>166</v>
      </c>
      <c r="C5" s="592">
        <f>MATRIZ!C301</f>
        <v>0.01</v>
      </c>
      <c r="D5" s="577"/>
      <c r="E5" s="593">
        <f>MATRIZ!G301</f>
        <v>2212.21</v>
      </c>
      <c r="F5" s="578"/>
      <c r="G5" s="579">
        <f>RTD!P6</f>
        <v>365.02</v>
      </c>
    </row>
    <row r="6" spans="1:7" ht="15.75" customHeight="1" x14ac:dyDescent="0.2">
      <c r="A6" s="575"/>
      <c r="B6" s="580" t="s">
        <v>12</v>
      </c>
      <c r="C6" s="595">
        <f>MATRIZ!C302</f>
        <v>2212.2200000000003</v>
      </c>
      <c r="D6" s="581" t="s">
        <v>11</v>
      </c>
      <c r="E6" s="596">
        <f>MATRIZ!G302</f>
        <v>5407.63</v>
      </c>
      <c r="F6" s="582"/>
      <c r="G6" s="579">
        <f>RTD!P7</f>
        <v>547.99</v>
      </c>
    </row>
    <row r="7" spans="1:7" ht="14.25" customHeight="1" x14ac:dyDescent="0.2">
      <c r="A7" s="575"/>
      <c r="B7" s="580" t="s">
        <v>13</v>
      </c>
      <c r="C7" s="595">
        <f>MATRIZ!C303</f>
        <v>5407.64</v>
      </c>
      <c r="D7" s="581" t="s">
        <v>11</v>
      </c>
      <c r="E7" s="596">
        <f>MATRIZ!G303</f>
        <v>8848.85</v>
      </c>
      <c r="F7" s="582"/>
      <c r="G7" s="579">
        <f>RTD!P8</f>
        <v>790.06</v>
      </c>
    </row>
    <row r="8" spans="1:7" ht="14.25" customHeight="1" x14ac:dyDescent="0.2">
      <c r="A8" s="575"/>
      <c r="B8" s="580" t="s">
        <v>14</v>
      </c>
      <c r="C8" s="595">
        <f>MATRIZ!C304</f>
        <v>8848.86</v>
      </c>
      <c r="D8" s="581" t="s">
        <v>11</v>
      </c>
      <c r="E8" s="596">
        <f>MATRIZ!G304</f>
        <v>17820.599999999999</v>
      </c>
      <c r="F8" s="582"/>
      <c r="G8" s="579">
        <f>RTD!P9</f>
        <v>1184.6600000000001</v>
      </c>
    </row>
    <row r="9" spans="1:7" ht="14.25" customHeight="1" x14ac:dyDescent="0.2">
      <c r="A9" s="575"/>
      <c r="B9" s="580" t="s">
        <v>15</v>
      </c>
      <c r="C9" s="595">
        <f>MATRIZ!C305</f>
        <v>17820.609999999997</v>
      </c>
      <c r="D9" s="581" t="s">
        <v>11</v>
      </c>
      <c r="E9" s="596">
        <f>MATRIZ!G305</f>
        <v>26792.36</v>
      </c>
      <c r="F9" s="582"/>
      <c r="G9" s="579">
        <f>RTD!P10</f>
        <v>1821.3400000000001</v>
      </c>
    </row>
    <row r="10" spans="1:7" ht="11.25" customHeight="1" x14ac:dyDescent="0.2">
      <c r="A10" s="575"/>
      <c r="B10" s="580" t="s">
        <v>16</v>
      </c>
      <c r="C10" s="595">
        <f>MATRIZ!C306</f>
        <v>26792.37</v>
      </c>
      <c r="D10" s="581" t="s">
        <v>11</v>
      </c>
      <c r="E10" s="596">
        <f>MATRIZ!G306</f>
        <v>35764.129999999997</v>
      </c>
      <c r="F10" s="582"/>
      <c r="G10" s="579">
        <f>RTD!P11</f>
        <v>2427.5</v>
      </c>
    </row>
    <row r="11" spans="1:7" ht="14.25" customHeight="1" x14ac:dyDescent="0.2">
      <c r="A11" s="575"/>
      <c r="B11" s="580" t="s">
        <v>17</v>
      </c>
      <c r="C11" s="595">
        <f>MATRIZ!C307</f>
        <v>35764.14</v>
      </c>
      <c r="D11" s="581" t="s">
        <v>11</v>
      </c>
      <c r="E11" s="596">
        <f>MATRIZ!G307</f>
        <v>53584.74</v>
      </c>
      <c r="F11" s="582"/>
      <c r="G11" s="579">
        <f>RTD!P12</f>
        <v>3033.6699999999992</v>
      </c>
    </row>
    <row r="12" spans="1:7" ht="15" customHeight="1" x14ac:dyDescent="0.2">
      <c r="A12" s="575"/>
      <c r="B12" s="580" t="s">
        <v>167</v>
      </c>
      <c r="C12" s="595">
        <f>MATRIZ!C308</f>
        <v>53584.75</v>
      </c>
      <c r="D12" s="581" t="s">
        <v>11</v>
      </c>
      <c r="E12" s="596">
        <f>MATRIZ!G308</f>
        <v>71405.37</v>
      </c>
      <c r="F12" s="582"/>
      <c r="G12" s="579">
        <f>RTD!P13</f>
        <v>3397.75</v>
      </c>
    </row>
    <row r="13" spans="1:7" ht="14.25" customHeight="1" x14ac:dyDescent="0.2">
      <c r="A13" s="575"/>
      <c r="B13" s="580" t="s">
        <v>168</v>
      </c>
      <c r="C13" s="595">
        <f>MATRIZ!C309</f>
        <v>71405.37999999999</v>
      </c>
      <c r="D13" s="581" t="s">
        <v>11</v>
      </c>
      <c r="E13" s="596">
        <f>MATRIZ!G309</f>
        <v>89348.89</v>
      </c>
      <c r="F13" s="582"/>
      <c r="G13" s="579">
        <f>RTD!P14</f>
        <v>3641.7300000000009</v>
      </c>
    </row>
    <row r="14" spans="1:7" ht="15" customHeight="1" x14ac:dyDescent="0.2">
      <c r="A14" s="575"/>
      <c r="B14" s="580" t="s">
        <v>169</v>
      </c>
      <c r="C14" s="595">
        <f>MATRIZ!C310</f>
        <v>89348.9</v>
      </c>
      <c r="D14" s="581" t="s">
        <v>11</v>
      </c>
      <c r="E14" s="596">
        <f>MATRIZ!G310</f>
        <v>107169.51</v>
      </c>
      <c r="F14" s="582"/>
      <c r="G14" s="579">
        <f>RTD!P15</f>
        <v>3883.8199999999997</v>
      </c>
    </row>
    <row r="15" spans="1:7" ht="15" customHeight="1" x14ac:dyDescent="0.2">
      <c r="A15" s="575"/>
      <c r="B15" s="580" t="s">
        <v>170</v>
      </c>
      <c r="C15" s="595">
        <f>MATRIZ!C311</f>
        <v>107169.51999999999</v>
      </c>
      <c r="D15" s="581" t="s">
        <v>11</v>
      </c>
      <c r="E15" s="596">
        <f>MATRIZ!G311</f>
        <v>178697.79</v>
      </c>
      <c r="F15" s="582"/>
      <c r="G15" s="579">
        <f>RTD!P16</f>
        <v>4489.9799999999996</v>
      </c>
    </row>
    <row r="16" spans="1:7" ht="13.5" customHeight="1" x14ac:dyDescent="0.2">
      <c r="A16" s="575"/>
      <c r="B16" s="580" t="s">
        <v>171</v>
      </c>
      <c r="C16" s="595">
        <f>MATRIZ!C312</f>
        <v>178697.80000000002</v>
      </c>
      <c r="D16" s="581" t="s">
        <v>11</v>
      </c>
      <c r="E16" s="596">
        <f>MATRIZ!G312</f>
        <v>250226.07</v>
      </c>
      <c r="F16" s="582"/>
      <c r="G16" s="579">
        <f>RTD!P17</f>
        <v>5582.26</v>
      </c>
    </row>
    <row r="17" spans="1:7" ht="14.25" customHeight="1" x14ac:dyDescent="0.2">
      <c r="A17" s="575"/>
      <c r="B17" s="580" t="s">
        <v>172</v>
      </c>
      <c r="C17" s="595">
        <f>MATRIZ!C313</f>
        <v>250226.08000000002</v>
      </c>
      <c r="D17" s="581" t="s">
        <v>11</v>
      </c>
      <c r="E17" s="596">
        <f>MATRIZ!G313</f>
        <v>328882.59999999998</v>
      </c>
      <c r="F17" s="582"/>
      <c r="G17" s="579">
        <f>RTD!P18</f>
        <v>6672.58</v>
      </c>
    </row>
    <row r="18" spans="1:7" ht="14.25" customHeight="1" x14ac:dyDescent="0.2">
      <c r="A18" s="575"/>
      <c r="B18" s="580" t="s">
        <v>173</v>
      </c>
      <c r="C18" s="595">
        <f>MATRIZ!C314</f>
        <v>328882.61</v>
      </c>
      <c r="D18" s="581" t="s">
        <v>11</v>
      </c>
      <c r="E18" s="596">
        <f>MATRIZ!G314</f>
        <v>357518.49</v>
      </c>
      <c r="F18" s="582"/>
      <c r="G18" s="579">
        <f>RTD!P19</f>
        <v>6676.4099999999989</v>
      </c>
    </row>
    <row r="19" spans="1:7" ht="14.25" customHeight="1" x14ac:dyDescent="0.2">
      <c r="A19" s="575"/>
      <c r="B19" s="580" t="s">
        <v>174</v>
      </c>
      <c r="C19" s="595">
        <f>MATRIZ!C315</f>
        <v>357518.5</v>
      </c>
      <c r="D19" s="581" t="s">
        <v>11</v>
      </c>
      <c r="E19" s="596">
        <f>MATRIZ!G315</f>
        <v>1843512.4</v>
      </c>
      <c r="F19" s="582"/>
      <c r="G19" s="579">
        <f>RTD!P20</f>
        <v>6691.6399999999994</v>
      </c>
    </row>
    <row r="20" spans="1:7" ht="14.25" customHeight="1" x14ac:dyDescent="0.2">
      <c r="A20" s="575"/>
      <c r="B20" s="580" t="s">
        <v>175</v>
      </c>
      <c r="C20" s="595">
        <f>MATRIZ!C316</f>
        <v>1843512.41</v>
      </c>
      <c r="D20" s="581" t="s">
        <v>11</v>
      </c>
      <c r="E20" s="596">
        <f>MATRIZ!G316</f>
        <v>2703818.19</v>
      </c>
      <c r="F20" s="582"/>
      <c r="G20" s="579">
        <f>RTD!P21</f>
        <v>8294.74</v>
      </c>
    </row>
    <row r="21" spans="1:7" ht="14.25" customHeight="1" x14ac:dyDescent="0.2">
      <c r="A21" s="575"/>
      <c r="B21" s="580" t="s">
        <v>176</v>
      </c>
      <c r="C21" s="595">
        <f>MATRIZ!C317</f>
        <v>2703818.1999999997</v>
      </c>
      <c r="D21" s="581" t="s">
        <v>11</v>
      </c>
      <c r="E21" s="596">
        <f>MATRIZ!G317</f>
        <v>3687024.81</v>
      </c>
      <c r="F21" s="582"/>
      <c r="G21" s="579">
        <f>RTD!P22</f>
        <v>9935.9700000000012</v>
      </c>
    </row>
    <row r="22" spans="1:7" ht="14.25" customHeight="1" x14ac:dyDescent="0.2">
      <c r="A22" s="575"/>
      <c r="B22" s="580" t="s">
        <v>177</v>
      </c>
      <c r="C22" s="595">
        <f>MATRIZ!C318</f>
        <v>3687024.82</v>
      </c>
      <c r="D22" s="581" t="s">
        <v>11</v>
      </c>
      <c r="E22" s="596">
        <f>MATRIZ!G318</f>
        <v>9094661.2400000002</v>
      </c>
      <c r="F22" s="582"/>
      <c r="G22" s="579">
        <f>RTD!P23</f>
        <v>12755.249999999998</v>
      </c>
    </row>
    <row r="23" spans="1:7" ht="14.25" customHeight="1" x14ac:dyDescent="0.2">
      <c r="A23" s="575"/>
      <c r="B23" s="580" t="s">
        <v>178</v>
      </c>
      <c r="C23" s="595">
        <f>MATRIZ!C319</f>
        <v>9094661.25</v>
      </c>
      <c r="D23" s="581" t="s">
        <v>11</v>
      </c>
      <c r="E23" s="596">
        <f>MATRIZ!G319</f>
        <v>18435124.120000001</v>
      </c>
      <c r="F23" s="582"/>
      <c r="G23" s="579">
        <f>RTD!P24</f>
        <v>16506.63</v>
      </c>
    </row>
    <row r="24" spans="1:7" ht="14.25" customHeight="1" x14ac:dyDescent="0.2">
      <c r="A24" s="575"/>
      <c r="B24" s="580" t="s">
        <v>179</v>
      </c>
      <c r="C24" s="595">
        <f>MATRIZ!C320</f>
        <v>18435124.130000003</v>
      </c>
      <c r="D24" s="581" t="s">
        <v>11</v>
      </c>
      <c r="E24" s="596">
        <f>MATRIZ!G320</f>
        <v>27038182.059999999</v>
      </c>
      <c r="F24" s="582"/>
      <c r="G24" s="579">
        <f>RTD!P25</f>
        <v>22133.709999999995</v>
      </c>
    </row>
    <row r="25" spans="1:7" ht="14.25" customHeight="1" x14ac:dyDescent="0.2">
      <c r="A25" s="575"/>
      <c r="B25" s="580" t="s">
        <v>180</v>
      </c>
      <c r="C25" s="595">
        <f>MATRIZ!C321</f>
        <v>27038182.07</v>
      </c>
      <c r="D25" s="581" t="s">
        <v>11</v>
      </c>
      <c r="E25" s="596">
        <f>MATRIZ!G321</f>
        <v>36870248.270000003</v>
      </c>
      <c r="F25" s="582"/>
      <c r="G25" s="579">
        <f>RTD!P26</f>
        <v>29636.470000000005</v>
      </c>
    </row>
    <row r="26" spans="1:7" ht="14.25" customHeight="1" x14ac:dyDescent="0.2">
      <c r="A26" s="575"/>
      <c r="B26" s="580" t="s">
        <v>181</v>
      </c>
      <c r="C26" s="595">
        <f>MATRIZ!C322</f>
        <v>36870248.280000001</v>
      </c>
      <c r="D26" s="581" t="s">
        <v>11</v>
      </c>
      <c r="E26" s="596">
        <f>MATRIZ!G322</f>
        <v>55305372.409999996</v>
      </c>
      <c r="F26" s="582"/>
      <c r="G26" s="579">
        <f>RTD!P27</f>
        <v>39014.94000000001</v>
      </c>
    </row>
    <row r="27" spans="1:7" ht="16.5" customHeight="1" x14ac:dyDescent="0.2">
      <c r="A27" s="575"/>
      <c r="B27" s="583" t="s">
        <v>182</v>
      </c>
      <c r="C27" s="595">
        <f>MATRIZ!C323</f>
        <v>55305372.419999994</v>
      </c>
      <c r="D27" s="584" t="s">
        <v>11</v>
      </c>
      <c r="E27" s="596">
        <f>MATRIZ!G323</f>
        <v>73740496.560000002</v>
      </c>
      <c r="F27" s="582"/>
      <c r="G27" s="579">
        <f>RTD!P28</f>
        <v>50269.09</v>
      </c>
    </row>
    <row r="28" spans="1:7" ht="14.25" customHeight="1" x14ac:dyDescent="0.2">
      <c r="A28" s="575"/>
      <c r="B28" s="580" t="s">
        <v>183</v>
      </c>
      <c r="C28" s="595">
        <f>MATRIZ!C324</f>
        <v>73740496.570000008</v>
      </c>
      <c r="D28" s="581" t="s">
        <v>11</v>
      </c>
      <c r="E28" s="596">
        <f>MATRIZ!G324</f>
        <v>110610744.84999999</v>
      </c>
      <c r="F28" s="582"/>
      <c r="G28" s="579">
        <f>RTD!P29</f>
        <v>61416.530000000006</v>
      </c>
    </row>
    <row r="29" spans="1:7" ht="15.75" customHeight="1" x14ac:dyDescent="0.2">
      <c r="A29" s="575"/>
      <c r="B29" s="580" t="s">
        <v>184</v>
      </c>
      <c r="C29" s="595">
        <f>MATRIZ!C325</f>
        <v>110610744.86</v>
      </c>
      <c r="D29" s="594" t="s">
        <v>589</v>
      </c>
      <c r="E29" s="594"/>
      <c r="F29" s="582"/>
      <c r="G29" s="579">
        <f>RTD!P30</f>
        <v>75036.049999999988</v>
      </c>
    </row>
    <row r="30" spans="1:7" ht="17.25" customHeight="1" x14ac:dyDescent="0.2">
      <c r="A30" s="575"/>
      <c r="B30" s="1275" t="s">
        <v>584</v>
      </c>
      <c r="C30" s="1275"/>
      <c r="D30" s="1275"/>
      <c r="E30" s="1275"/>
      <c r="F30" s="1275"/>
      <c r="G30" s="579">
        <f>RTD!P32</f>
        <v>345.92000000000007</v>
      </c>
    </row>
    <row r="31" spans="1:7" ht="42" customHeight="1" x14ac:dyDescent="0.2">
      <c r="A31" s="575"/>
      <c r="B31" s="1274" t="s">
        <v>185</v>
      </c>
      <c r="C31" s="1274"/>
      <c r="D31" s="1274"/>
      <c r="E31" s="1274"/>
      <c r="F31" s="1274"/>
      <c r="G31" s="579">
        <f>RTD!P34</f>
        <v>145.78</v>
      </c>
    </row>
    <row r="32" spans="1:7" ht="18" customHeight="1" x14ac:dyDescent="0.2">
      <c r="A32" s="575"/>
      <c r="B32" s="1276" t="s">
        <v>186</v>
      </c>
      <c r="C32" s="1276"/>
      <c r="D32" s="1276"/>
      <c r="E32" s="1276"/>
      <c r="F32" s="1276"/>
      <c r="G32" s="579">
        <f>RTD!P36</f>
        <v>50.47</v>
      </c>
    </row>
    <row r="33" spans="1:7" ht="27.75" customHeight="1" x14ac:dyDescent="0.2">
      <c r="A33" s="575"/>
      <c r="B33" s="1274" t="s">
        <v>585</v>
      </c>
      <c r="C33" s="1274"/>
      <c r="D33" s="1274"/>
      <c r="E33" s="1274"/>
      <c r="F33" s="1277"/>
      <c r="G33" s="579">
        <f>RTD!P37</f>
        <v>345.92000000000007</v>
      </c>
    </row>
    <row r="34" spans="1:7" ht="45.75" customHeight="1" x14ac:dyDescent="0.2">
      <c r="A34" s="575"/>
      <c r="B34" s="1274" t="s">
        <v>586</v>
      </c>
      <c r="C34" s="1274"/>
      <c r="D34" s="1274"/>
      <c r="E34" s="1274"/>
      <c r="F34" s="1277"/>
      <c r="G34" s="579">
        <f>RTD!P38</f>
        <v>50.47</v>
      </c>
    </row>
    <row r="35" spans="1:7" ht="27" customHeight="1" x14ac:dyDescent="0.2">
      <c r="A35" s="575"/>
      <c r="B35" s="1274" t="s">
        <v>187</v>
      </c>
      <c r="C35" s="1274"/>
      <c r="D35" s="1274"/>
      <c r="E35" s="1274"/>
      <c r="F35" s="1277"/>
      <c r="G35" s="579">
        <f>RTD!P39</f>
        <v>47.6</v>
      </c>
    </row>
    <row r="36" spans="1:7" ht="35.25" customHeight="1" x14ac:dyDescent="0.2">
      <c r="A36" s="575"/>
      <c r="B36" s="1274" t="s">
        <v>188</v>
      </c>
      <c r="C36" s="1274"/>
      <c r="D36" s="1274"/>
      <c r="E36" s="1274"/>
      <c r="F36" s="1277"/>
      <c r="G36" s="579">
        <f>RTD!P40</f>
        <v>727.18999999999994</v>
      </c>
    </row>
    <row r="37" spans="1:7" ht="16.5" customHeight="1" x14ac:dyDescent="0.2">
      <c r="A37" s="575"/>
      <c r="B37" s="1274" t="s">
        <v>189</v>
      </c>
      <c r="C37" s="1274"/>
      <c r="D37" s="1274"/>
      <c r="E37" s="1274"/>
      <c r="F37" s="1277"/>
      <c r="G37" s="579">
        <f>RTD!P41</f>
        <v>79.080000000000013</v>
      </c>
    </row>
    <row r="38" spans="1:7" ht="14.25" customHeight="1" x14ac:dyDescent="0.2">
      <c r="A38" s="575"/>
      <c r="B38" s="1274" t="s">
        <v>190</v>
      </c>
      <c r="C38" s="1274"/>
      <c r="D38" s="1274"/>
      <c r="E38" s="1274"/>
      <c r="F38" s="1277"/>
      <c r="G38" s="579">
        <f>RTD!P42</f>
        <v>17.11</v>
      </c>
    </row>
    <row r="39" spans="1:7" ht="31.5" customHeight="1" x14ac:dyDescent="0.2">
      <c r="A39" s="575"/>
      <c r="B39" s="1274" t="s">
        <v>191</v>
      </c>
      <c r="C39" s="1274"/>
      <c r="D39" s="1274"/>
      <c r="E39" s="1274"/>
      <c r="F39" s="1277"/>
      <c r="G39" s="579">
        <f>RTD!P43</f>
        <v>50.47</v>
      </c>
    </row>
    <row r="40" spans="1:7" ht="26.25" customHeight="1" x14ac:dyDescent="0.2">
      <c r="A40" s="575"/>
      <c r="B40" s="1274" t="s">
        <v>192</v>
      </c>
      <c r="C40" s="1274"/>
      <c r="D40" s="1274"/>
      <c r="E40" s="1274"/>
      <c r="F40" s="1274"/>
      <c r="G40" s="579">
        <f>RTD!P44</f>
        <v>3.1</v>
      </c>
    </row>
    <row r="41" spans="1:7" ht="26.25" customHeight="1" x14ac:dyDescent="0.2">
      <c r="A41" s="575"/>
      <c r="B41" s="1274" t="s">
        <v>193</v>
      </c>
      <c r="C41" s="1274"/>
      <c r="D41" s="1274"/>
      <c r="E41" s="1274"/>
      <c r="F41" s="1274"/>
      <c r="G41" s="579" t="str">
        <f>RTD!P45</f>
        <v>-</v>
      </c>
    </row>
    <row r="42" spans="1:7" thickBot="1" x14ac:dyDescent="0.25">
      <c r="A42" s="585"/>
      <c r="B42" s="1274" t="s">
        <v>194</v>
      </c>
      <c r="C42" s="1274"/>
      <c r="D42" s="1274"/>
      <c r="E42" s="1274"/>
      <c r="F42" s="1274"/>
      <c r="G42" s="579">
        <f>RTD!P46</f>
        <v>145.78</v>
      </c>
    </row>
    <row r="43" spans="1:7" ht="14.25" customHeight="1" x14ac:dyDescent="0.2">
      <c r="A43" s="575"/>
      <c r="B43" s="1274" t="s">
        <v>195</v>
      </c>
      <c r="C43" s="1274"/>
      <c r="D43" s="1274"/>
      <c r="E43" s="1274"/>
      <c r="F43" s="1274"/>
      <c r="G43" s="579">
        <f>RTD!P47</f>
        <v>0.02</v>
      </c>
    </row>
    <row r="44" spans="1:7" ht="52.5" customHeight="1" x14ac:dyDescent="0.2">
      <c r="A44" s="575"/>
      <c r="B44" s="1274" t="s">
        <v>196</v>
      </c>
      <c r="C44" s="1274"/>
      <c r="D44" s="1274"/>
      <c r="E44" s="1274"/>
      <c r="F44" s="1274"/>
      <c r="G44" s="579">
        <f>RTD!P49</f>
        <v>3.1</v>
      </c>
    </row>
    <row r="45" spans="1:7" ht="41.25" customHeight="1" x14ac:dyDescent="0.2">
      <c r="A45" s="575"/>
      <c r="B45" s="1274" t="s">
        <v>197</v>
      </c>
      <c r="C45" s="1274"/>
      <c r="D45" s="1274"/>
      <c r="E45" s="1274"/>
      <c r="F45" s="1274"/>
      <c r="G45" s="579">
        <f>RTD!P50</f>
        <v>3.49</v>
      </c>
    </row>
    <row r="46" spans="1:7" ht="15" x14ac:dyDescent="0.2">
      <c r="A46" s="575"/>
      <c r="B46" s="1274" t="s">
        <v>198</v>
      </c>
      <c r="C46" s="1274"/>
      <c r="D46" s="1274"/>
      <c r="E46" s="1274"/>
      <c r="F46" s="1274"/>
      <c r="G46" s="579">
        <f>RTD!P51</f>
        <v>3.1</v>
      </c>
    </row>
    <row r="47" spans="1:7" ht="15" x14ac:dyDescent="0.2">
      <c r="A47" s="575"/>
      <c r="B47" s="1274" t="s">
        <v>587</v>
      </c>
      <c r="C47" s="1274"/>
      <c r="D47" s="1274"/>
      <c r="E47" s="1274"/>
      <c r="F47" s="1274"/>
      <c r="G47" s="586" t="s">
        <v>554</v>
      </c>
    </row>
    <row r="48" spans="1:7" ht="55.5" customHeight="1" x14ac:dyDescent="0.2">
      <c r="A48" s="575"/>
      <c r="B48" s="1274" t="s">
        <v>588</v>
      </c>
      <c r="C48" s="1274"/>
      <c r="D48" s="1274"/>
      <c r="E48" s="1274"/>
      <c r="F48" s="1274"/>
      <c r="G48" s="579"/>
    </row>
    <row r="49" spans="1:7" ht="30.75" customHeight="1" x14ac:dyDescent="0.2">
      <c r="A49" s="575"/>
      <c r="B49" s="1274" t="s">
        <v>199</v>
      </c>
      <c r="C49" s="1274"/>
      <c r="D49" s="1274"/>
      <c r="E49" s="1274"/>
      <c r="F49" s="1274"/>
      <c r="G49" s="579"/>
    </row>
    <row r="50" spans="1:7" ht="15" x14ac:dyDescent="0.2">
      <c r="A50" s="575"/>
      <c r="B50" s="587" t="s">
        <v>200</v>
      </c>
      <c r="G50" s="579">
        <f>RTD!P56</f>
        <v>79.080000000000013</v>
      </c>
    </row>
    <row r="51" spans="1:7" ht="15" x14ac:dyDescent="0.2">
      <c r="A51" s="575"/>
      <c r="B51" s="587" t="s">
        <v>201</v>
      </c>
      <c r="G51" s="579">
        <f>RTD!P57</f>
        <v>155.31</v>
      </c>
    </row>
    <row r="52" spans="1:7" ht="15" x14ac:dyDescent="0.2">
      <c r="A52" s="575"/>
      <c r="B52" s="587" t="s">
        <v>202</v>
      </c>
      <c r="G52" s="579">
        <f>RTD!P58</f>
        <v>231.57000000000002</v>
      </c>
    </row>
    <row r="53" spans="1:7" ht="15" x14ac:dyDescent="0.2">
      <c r="A53" s="575"/>
      <c r="B53" s="587" t="s">
        <v>203</v>
      </c>
      <c r="G53" s="579">
        <f>RTD!P59</f>
        <v>307.80000000000007</v>
      </c>
    </row>
    <row r="54" spans="1:7" ht="15" x14ac:dyDescent="0.2">
      <c r="A54" s="575"/>
      <c r="B54" s="587" t="s">
        <v>204</v>
      </c>
      <c r="G54" s="579">
        <f>RTD!P60</f>
        <v>384.06999999999994</v>
      </c>
    </row>
    <row r="55" spans="1:7" ht="15" x14ac:dyDescent="0.2">
      <c r="A55" s="575"/>
      <c r="B55" s="587" t="s">
        <v>205</v>
      </c>
      <c r="G55" s="579">
        <f>RTD!P61</f>
        <v>765.30999999999983</v>
      </c>
    </row>
    <row r="56" spans="1:7" ht="15" x14ac:dyDescent="0.2">
      <c r="A56" s="575"/>
      <c r="B56" s="587" t="s">
        <v>206</v>
      </c>
      <c r="G56" s="579">
        <f>RTD!P62</f>
        <v>1146.54</v>
      </c>
    </row>
    <row r="57" spans="1:7" ht="15" x14ac:dyDescent="0.2">
      <c r="A57" s="575"/>
      <c r="B57" s="587" t="s">
        <v>207</v>
      </c>
      <c r="G57" s="579">
        <f>RTD!P63</f>
        <v>1527.79</v>
      </c>
    </row>
    <row r="58" spans="1:7" ht="15" x14ac:dyDescent="0.2">
      <c r="A58" s="575"/>
      <c r="B58" s="587" t="s">
        <v>208</v>
      </c>
      <c r="G58" s="579">
        <f>RTD!P64</f>
        <v>1909.0199999999995</v>
      </c>
    </row>
    <row r="59" spans="1:7" ht="15" x14ac:dyDescent="0.2">
      <c r="A59" s="575"/>
      <c r="B59" s="587" t="s">
        <v>209</v>
      </c>
      <c r="G59" s="579">
        <f>RTD!P65</f>
        <v>2290.25</v>
      </c>
    </row>
    <row r="60" spans="1:7" ht="15" x14ac:dyDescent="0.2">
      <c r="A60" s="575"/>
      <c r="B60" s="587" t="s">
        <v>210</v>
      </c>
      <c r="G60" s="579">
        <f>RTD!P66</f>
        <v>2671.4900000000002</v>
      </c>
    </row>
    <row r="61" spans="1:7" ht="15" x14ac:dyDescent="0.2">
      <c r="A61" s="575"/>
      <c r="B61" s="587" t="s">
        <v>211</v>
      </c>
      <c r="G61" s="579">
        <f>RTD!P67</f>
        <v>3052.7400000000002</v>
      </c>
    </row>
    <row r="62" spans="1:7" thickBot="1" x14ac:dyDescent="0.25">
      <c r="A62" s="585"/>
      <c r="B62" s="588" t="s">
        <v>212</v>
      </c>
      <c r="C62" s="589"/>
      <c r="D62" s="589"/>
      <c r="E62" s="589"/>
      <c r="F62" s="589"/>
      <c r="G62" s="590">
        <f>RTD!P68</f>
        <v>3815.2200000000003</v>
      </c>
    </row>
  </sheetData>
  <mergeCells count="25">
    <mergeCell ref="B48:F48"/>
    <mergeCell ref="B49:F49"/>
    <mergeCell ref="B42:F42"/>
    <mergeCell ref="B43:F43"/>
    <mergeCell ref="B44:F44"/>
    <mergeCell ref="B45:F45"/>
    <mergeCell ref="B46:F46"/>
    <mergeCell ref="B47:F47"/>
    <mergeCell ref="B41:F41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A1:E2"/>
    <mergeCell ref="F1:G2"/>
    <mergeCell ref="B3:F3"/>
    <mergeCell ref="G3:G4"/>
    <mergeCell ref="B4:F4"/>
  </mergeCells>
  <pageMargins left="0.65" right="0.39370078740157483" top="0.59055118110236227" bottom="0.59055118110236227" header="0.28999999999999998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9"/>
  <sheetViews>
    <sheetView showGridLines="0" tabSelected="1" zoomScale="85" zoomScaleNormal="85" workbookViewId="0">
      <pane ySplit="3" topLeftCell="A4" activePane="bottomLeft" state="frozen"/>
      <selection activeCell="L275" sqref="L275"/>
      <selection pane="bottomLeft" activeCell="L275" sqref="L275"/>
    </sheetView>
  </sheetViews>
  <sheetFormatPr defaultRowHeight="15" x14ac:dyDescent="0.25"/>
  <cols>
    <col min="1" max="1" width="3.140625" customWidth="1"/>
    <col min="2" max="2" width="12.140625" customWidth="1"/>
    <col min="4" max="4" width="15.42578125" customWidth="1"/>
    <col min="5" max="5" width="22.85546875" customWidth="1"/>
    <col min="6" max="6" width="12.140625" customWidth="1"/>
    <col min="7" max="7" width="12.5703125" customWidth="1"/>
    <col min="8" max="8" width="9.28515625" bestFit="1" customWidth="1"/>
    <col min="13" max="13" width="7.85546875" customWidth="1"/>
    <col min="14" max="14" width="8.42578125" style="137" customWidth="1"/>
    <col min="15" max="15" width="12.7109375" customWidth="1"/>
    <col min="16" max="16" width="8.140625" customWidth="1"/>
    <col min="17" max="17" width="8.28515625" customWidth="1"/>
    <col min="18" max="18" width="14" customWidth="1"/>
  </cols>
  <sheetData>
    <row r="1" spans="1:18" s="49" customFormat="1" ht="27" customHeight="1" x14ac:dyDescent="0.25">
      <c r="B1" s="775" t="str">
        <f>MATRIZ!B1</f>
        <v>PORTARIA n.º 423/2025</v>
      </c>
      <c r="C1" s="776"/>
      <c r="D1" s="776"/>
      <c r="E1" s="776"/>
      <c r="F1" s="776"/>
      <c r="G1" s="773" t="s">
        <v>156</v>
      </c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4"/>
    </row>
    <row r="2" spans="1:18" s="1" customFormat="1" ht="22.5" customHeight="1" x14ac:dyDescent="0.2">
      <c r="B2" s="777" t="s">
        <v>105</v>
      </c>
      <c r="C2" s="778"/>
      <c r="D2" s="778"/>
      <c r="E2" s="778"/>
      <c r="F2" s="779"/>
      <c r="G2" s="783" t="s">
        <v>45</v>
      </c>
      <c r="H2" s="314">
        <v>0.02</v>
      </c>
      <c r="I2" s="314">
        <v>0.2</v>
      </c>
      <c r="J2" s="314">
        <v>0.05</v>
      </c>
      <c r="K2" s="314">
        <v>0.05</v>
      </c>
      <c r="L2" s="314">
        <v>0.06</v>
      </c>
      <c r="M2" s="314">
        <v>0.03</v>
      </c>
      <c r="N2" s="785" t="s">
        <v>36</v>
      </c>
      <c r="O2" s="787" t="s">
        <v>487</v>
      </c>
      <c r="P2" s="789" t="s">
        <v>106</v>
      </c>
      <c r="Q2" s="795" t="s">
        <v>6</v>
      </c>
      <c r="R2" s="771" t="s">
        <v>37</v>
      </c>
    </row>
    <row r="3" spans="1:18" s="1" customFormat="1" ht="18" customHeight="1" thickBot="1" x14ac:dyDescent="0.25">
      <c r="B3" s="780"/>
      <c r="C3" s="781"/>
      <c r="D3" s="781"/>
      <c r="E3" s="781"/>
      <c r="F3" s="782"/>
      <c r="G3" s="784"/>
      <c r="H3" s="485" t="s">
        <v>107</v>
      </c>
      <c r="I3" s="486" t="s">
        <v>108</v>
      </c>
      <c r="J3" s="485" t="s">
        <v>109</v>
      </c>
      <c r="K3" s="485" t="s">
        <v>43</v>
      </c>
      <c r="L3" s="485" t="s">
        <v>44</v>
      </c>
      <c r="M3" s="487" t="s">
        <v>5</v>
      </c>
      <c r="N3" s="786"/>
      <c r="O3" s="788"/>
      <c r="P3" s="790"/>
      <c r="Q3" s="796"/>
      <c r="R3" s="772"/>
    </row>
    <row r="4" spans="1:18" s="1" customFormat="1" ht="12.75" x14ac:dyDescent="0.2">
      <c r="B4" s="51" t="s">
        <v>49</v>
      </c>
      <c r="C4" s="383"/>
      <c r="D4" s="383"/>
      <c r="E4" s="383" t="s">
        <v>50</v>
      </c>
      <c r="G4" s="484" t="s">
        <v>110</v>
      </c>
      <c r="H4" s="9"/>
      <c r="N4" s="9"/>
      <c r="P4" s="7"/>
      <c r="Q4" s="7"/>
      <c r="R4" s="370"/>
    </row>
    <row r="5" spans="1:18" s="1" customFormat="1" ht="12.75" x14ac:dyDescent="0.2">
      <c r="B5" s="52">
        <f>MATRIZ!B142</f>
        <v>0.01</v>
      </c>
      <c r="C5" s="312"/>
      <c r="D5" s="384" t="s">
        <v>11</v>
      </c>
      <c r="E5" s="312">
        <f>MATRIZ!H142</f>
        <v>18435.099999999999</v>
      </c>
      <c r="G5" s="53">
        <f>MATRIZ!I142</f>
        <v>290.48</v>
      </c>
      <c r="H5" s="107">
        <f>TRUNC(G5*2%,2)</f>
        <v>5.8</v>
      </c>
      <c r="I5" s="107">
        <f>TRUNC(G5*20%,2)</f>
        <v>58.09</v>
      </c>
      <c r="J5" s="107">
        <f>TRUNC(G5*5%,2)</f>
        <v>14.52</v>
      </c>
      <c r="K5" s="107">
        <f>TRUNC(G5*5%,2)</f>
        <v>14.52</v>
      </c>
      <c r="L5" s="107">
        <f>TRUNC(G5*6%,2)</f>
        <v>17.420000000000002</v>
      </c>
      <c r="M5" s="107">
        <f>TRUNC(G5*3%,2)</f>
        <v>8.7100000000000009</v>
      </c>
      <c r="N5" s="107">
        <f>MATRIZ!$I$373</f>
        <v>42.28</v>
      </c>
      <c r="O5" s="338">
        <f>SUM(G5:N5)</f>
        <v>451.81999999999994</v>
      </c>
      <c r="P5" s="107">
        <f>MATRIZ!$I$381</f>
        <v>32.57</v>
      </c>
      <c r="Q5" s="107">
        <f>MATRIZ!$I$382</f>
        <v>2.87</v>
      </c>
      <c r="R5" s="371">
        <f>SUM(O5:Q5)</f>
        <v>487.25999999999993</v>
      </c>
    </row>
    <row r="6" spans="1:18" s="1" customFormat="1" ht="12.75" x14ac:dyDescent="0.2">
      <c r="B6" s="52">
        <f>MATRIZ!B143</f>
        <v>18435.109999999997</v>
      </c>
      <c r="C6" s="312"/>
      <c r="D6" s="384" t="s">
        <v>11</v>
      </c>
      <c r="E6" s="312">
        <f>MATRIZ!H143</f>
        <v>36870.230000000003</v>
      </c>
      <c r="G6" s="53">
        <f>MATRIZ!I143</f>
        <v>480</v>
      </c>
      <c r="H6" s="107">
        <f t="shared" ref="H6:H13" si="0">TRUNC(G6*2%,2)</f>
        <v>9.6</v>
      </c>
      <c r="I6" s="107">
        <f t="shared" ref="I6:I12" si="1">TRUNC(G6*20%,2)</f>
        <v>96</v>
      </c>
      <c r="J6" s="107">
        <f t="shared" ref="J6:J12" si="2">TRUNC(G6*5%,2)</f>
        <v>24</v>
      </c>
      <c r="K6" s="107">
        <f t="shared" ref="K6:K12" si="3">TRUNC(G6*5%,2)</f>
        <v>24</v>
      </c>
      <c r="L6" s="107">
        <f t="shared" ref="L6:L13" si="4">TRUNC(G6*6%,2)</f>
        <v>28.8</v>
      </c>
      <c r="M6" s="107">
        <f t="shared" ref="M6:M12" si="5">TRUNC(G6*3%,2)</f>
        <v>14.4</v>
      </c>
      <c r="N6" s="107">
        <f>MATRIZ!$I$373</f>
        <v>42.28</v>
      </c>
      <c r="O6" s="338">
        <f t="shared" ref="O6:O12" si="6">SUM(G6:N6)</f>
        <v>719.07999999999993</v>
      </c>
      <c r="P6" s="107">
        <f>MATRIZ!$I$381</f>
        <v>32.57</v>
      </c>
      <c r="Q6" s="107">
        <f>MATRIZ!$I$382</f>
        <v>2.87</v>
      </c>
      <c r="R6" s="371">
        <f t="shared" ref="R6:R12" si="7">SUM(O6:Q6)</f>
        <v>754.52</v>
      </c>
    </row>
    <row r="7" spans="1:18" s="1" customFormat="1" ht="12.75" x14ac:dyDescent="0.2">
      <c r="B7" s="52">
        <f>MATRIZ!B144</f>
        <v>36870.240000000005</v>
      </c>
      <c r="C7" s="312"/>
      <c r="D7" s="384" t="s">
        <v>11</v>
      </c>
      <c r="E7" s="312">
        <f>MATRIZ!H144</f>
        <v>55305.35</v>
      </c>
      <c r="G7" s="53">
        <f>MATRIZ!I144</f>
        <v>669.56</v>
      </c>
      <c r="H7" s="107">
        <f t="shared" si="0"/>
        <v>13.39</v>
      </c>
      <c r="I7" s="107">
        <f t="shared" si="1"/>
        <v>133.91</v>
      </c>
      <c r="J7" s="107">
        <f t="shared" si="2"/>
        <v>33.47</v>
      </c>
      <c r="K7" s="107">
        <f t="shared" si="3"/>
        <v>33.47</v>
      </c>
      <c r="L7" s="107">
        <f t="shared" si="4"/>
        <v>40.17</v>
      </c>
      <c r="M7" s="107">
        <f t="shared" si="5"/>
        <v>20.079999999999998</v>
      </c>
      <c r="N7" s="107">
        <f>MATRIZ!$I$373</f>
        <v>42.28</v>
      </c>
      <c r="O7" s="338">
        <f t="shared" si="6"/>
        <v>986.32999999999993</v>
      </c>
      <c r="P7" s="107">
        <f>MATRIZ!$I$381</f>
        <v>32.57</v>
      </c>
      <c r="Q7" s="107">
        <f>MATRIZ!$I$382</f>
        <v>2.87</v>
      </c>
      <c r="R7" s="371">
        <f t="shared" si="7"/>
        <v>1021.77</v>
      </c>
    </row>
    <row r="8" spans="1:18" s="1" customFormat="1" ht="12.75" x14ac:dyDescent="0.2">
      <c r="B8" s="52">
        <f>MATRIZ!B145</f>
        <v>55305.36</v>
      </c>
      <c r="C8" s="312"/>
      <c r="D8" s="384" t="s">
        <v>11</v>
      </c>
      <c r="E8" s="312">
        <f>MATRIZ!H145</f>
        <v>73740.490000000005</v>
      </c>
      <c r="G8" s="53">
        <f>MATRIZ!I145</f>
        <v>821.15</v>
      </c>
      <c r="H8" s="107">
        <f t="shared" si="0"/>
        <v>16.420000000000002</v>
      </c>
      <c r="I8" s="107">
        <f t="shared" si="1"/>
        <v>164.23</v>
      </c>
      <c r="J8" s="107">
        <f t="shared" si="2"/>
        <v>41.05</v>
      </c>
      <c r="K8" s="107">
        <f t="shared" si="3"/>
        <v>41.05</v>
      </c>
      <c r="L8" s="107">
        <f t="shared" si="4"/>
        <v>49.26</v>
      </c>
      <c r="M8" s="107">
        <f t="shared" si="5"/>
        <v>24.63</v>
      </c>
      <c r="N8" s="107">
        <f>MATRIZ!$I$373</f>
        <v>42.28</v>
      </c>
      <c r="O8" s="338">
        <f t="shared" si="6"/>
        <v>1200.07</v>
      </c>
      <c r="P8" s="107">
        <f>MATRIZ!$I$381</f>
        <v>32.57</v>
      </c>
      <c r="Q8" s="107">
        <f>MATRIZ!$I$382</f>
        <v>2.87</v>
      </c>
      <c r="R8" s="371">
        <f t="shared" si="7"/>
        <v>1235.5099999999998</v>
      </c>
    </row>
    <row r="9" spans="1:18" s="1" customFormat="1" ht="12.75" x14ac:dyDescent="0.2">
      <c r="B9" s="52">
        <f>MATRIZ!B146</f>
        <v>73740.5</v>
      </c>
      <c r="C9" s="312"/>
      <c r="D9" s="384" t="s">
        <v>11</v>
      </c>
      <c r="E9" s="312">
        <f>MATRIZ!H146</f>
        <v>98320.639999999999</v>
      </c>
      <c r="G9" s="53">
        <f>MATRIZ!I146</f>
        <v>1455.47</v>
      </c>
      <c r="H9" s="107">
        <f t="shared" si="0"/>
        <v>29.1</v>
      </c>
      <c r="I9" s="107">
        <f t="shared" si="1"/>
        <v>291.08999999999997</v>
      </c>
      <c r="J9" s="107">
        <f t="shared" si="2"/>
        <v>72.77</v>
      </c>
      <c r="K9" s="107">
        <f t="shared" si="3"/>
        <v>72.77</v>
      </c>
      <c r="L9" s="107">
        <f t="shared" si="4"/>
        <v>87.32</v>
      </c>
      <c r="M9" s="107">
        <f t="shared" si="5"/>
        <v>43.66</v>
      </c>
      <c r="N9" s="107">
        <f>MATRIZ!$I$373</f>
        <v>42.28</v>
      </c>
      <c r="O9" s="338">
        <f t="shared" si="6"/>
        <v>2094.46</v>
      </c>
      <c r="P9" s="107">
        <f>MATRIZ!$I$381</f>
        <v>32.57</v>
      </c>
      <c r="Q9" s="107">
        <f>MATRIZ!$I$382</f>
        <v>2.87</v>
      </c>
      <c r="R9" s="371">
        <f t="shared" si="7"/>
        <v>2129.9</v>
      </c>
    </row>
    <row r="10" spans="1:18" s="1" customFormat="1" ht="12.75" x14ac:dyDescent="0.2">
      <c r="B10" s="52">
        <f>MATRIZ!B147</f>
        <v>98320.65</v>
      </c>
      <c r="C10" s="312"/>
      <c r="D10" s="384" t="s">
        <v>11</v>
      </c>
      <c r="E10" s="312">
        <f>MATRIZ!H147</f>
        <v>122900.81</v>
      </c>
      <c r="G10" s="53">
        <f>MATRIZ!I147</f>
        <v>1718.27</v>
      </c>
      <c r="H10" s="107">
        <f t="shared" si="0"/>
        <v>34.36</v>
      </c>
      <c r="I10" s="107">
        <f t="shared" si="1"/>
        <v>343.65</v>
      </c>
      <c r="J10" s="107">
        <f t="shared" si="2"/>
        <v>85.91</v>
      </c>
      <c r="K10" s="107">
        <f t="shared" si="3"/>
        <v>85.91</v>
      </c>
      <c r="L10" s="107">
        <f t="shared" si="4"/>
        <v>103.09</v>
      </c>
      <c r="M10" s="107">
        <f t="shared" si="5"/>
        <v>51.54</v>
      </c>
      <c r="N10" s="107">
        <f>MATRIZ!$I$373</f>
        <v>42.28</v>
      </c>
      <c r="O10" s="338">
        <f t="shared" si="6"/>
        <v>2465.0099999999998</v>
      </c>
      <c r="P10" s="107">
        <f>MATRIZ!$I$381</f>
        <v>32.57</v>
      </c>
      <c r="Q10" s="107">
        <f>MATRIZ!$I$382</f>
        <v>2.87</v>
      </c>
      <c r="R10" s="371">
        <f t="shared" si="7"/>
        <v>2500.4499999999998</v>
      </c>
    </row>
    <row r="11" spans="1:18" s="1" customFormat="1" ht="12.75" x14ac:dyDescent="0.2">
      <c r="B11" s="52">
        <f>MATRIZ!B148</f>
        <v>122900.81999999999</v>
      </c>
      <c r="C11" s="312"/>
      <c r="D11" s="384" t="s">
        <v>11</v>
      </c>
      <c r="E11" s="312">
        <f>MATRIZ!H148</f>
        <v>245801.64</v>
      </c>
      <c r="G11" s="53">
        <f>MATRIZ!I148</f>
        <v>2324.7199999999998</v>
      </c>
      <c r="H11" s="107">
        <f t="shared" si="0"/>
        <v>46.49</v>
      </c>
      <c r="I11" s="107">
        <f t="shared" si="1"/>
        <v>464.94</v>
      </c>
      <c r="J11" s="107">
        <f t="shared" si="2"/>
        <v>116.23</v>
      </c>
      <c r="K11" s="107">
        <f t="shared" si="3"/>
        <v>116.23</v>
      </c>
      <c r="L11" s="107">
        <f t="shared" si="4"/>
        <v>139.47999999999999</v>
      </c>
      <c r="M11" s="107">
        <f t="shared" si="5"/>
        <v>69.739999999999995</v>
      </c>
      <c r="N11" s="107">
        <f>MATRIZ!$I$373</f>
        <v>42.28</v>
      </c>
      <c r="O11" s="338">
        <f t="shared" si="6"/>
        <v>3320.1099999999997</v>
      </c>
      <c r="P11" s="107">
        <f>MATRIZ!$I$381</f>
        <v>32.57</v>
      </c>
      <c r="Q11" s="107">
        <f>MATRIZ!$I$382</f>
        <v>2.87</v>
      </c>
      <c r="R11" s="371">
        <f t="shared" si="7"/>
        <v>3355.5499999999997</v>
      </c>
    </row>
    <row r="12" spans="1:18" s="1" customFormat="1" ht="12.75" x14ac:dyDescent="0.2">
      <c r="B12" s="52">
        <f>MATRIZ!B149</f>
        <v>245801.65000000002</v>
      </c>
      <c r="C12" s="312"/>
      <c r="D12" s="384" t="s">
        <v>11</v>
      </c>
      <c r="E12" s="312">
        <f>MATRIZ!H149</f>
        <v>491603.3</v>
      </c>
      <c r="G12" s="53">
        <f>MATRIZ!I149</f>
        <v>2494.48</v>
      </c>
      <c r="H12" s="107">
        <f t="shared" si="0"/>
        <v>49.88</v>
      </c>
      <c r="I12" s="107">
        <f t="shared" si="1"/>
        <v>498.89</v>
      </c>
      <c r="J12" s="107">
        <f t="shared" si="2"/>
        <v>124.72</v>
      </c>
      <c r="K12" s="107">
        <f t="shared" si="3"/>
        <v>124.72</v>
      </c>
      <c r="L12" s="107">
        <f t="shared" si="4"/>
        <v>149.66</v>
      </c>
      <c r="M12" s="107">
        <f t="shared" si="5"/>
        <v>74.83</v>
      </c>
      <c r="N12" s="107">
        <f>MATRIZ!$I$373</f>
        <v>42.28</v>
      </c>
      <c r="O12" s="338">
        <f t="shared" si="6"/>
        <v>3559.4599999999996</v>
      </c>
      <c r="P12" s="107">
        <f>MATRIZ!$I$381</f>
        <v>32.57</v>
      </c>
      <c r="Q12" s="107">
        <f>MATRIZ!$I$382</f>
        <v>2.87</v>
      </c>
      <c r="R12" s="371">
        <f t="shared" si="7"/>
        <v>3594.8999999999996</v>
      </c>
    </row>
    <row r="13" spans="1:18" s="1" customFormat="1" ht="30.75" customHeight="1" x14ac:dyDescent="0.2">
      <c r="B13" s="794" t="s">
        <v>640</v>
      </c>
      <c r="C13" s="769"/>
      <c r="D13" s="769"/>
      <c r="E13" s="769"/>
      <c r="F13" s="769"/>
      <c r="G13" s="53">
        <f>MATRIZ!I150</f>
        <v>220.93</v>
      </c>
      <c r="H13" s="107">
        <f t="shared" si="0"/>
        <v>4.41</v>
      </c>
      <c r="I13" s="107">
        <f t="shared" ref="I13" si="8">TRUNC(G13*20%,2)</f>
        <v>44.18</v>
      </c>
      <c r="J13" s="107">
        <f t="shared" ref="J13" si="9">TRUNC(G13*5%,2)</f>
        <v>11.04</v>
      </c>
      <c r="K13" s="107">
        <f t="shared" ref="K13" si="10">TRUNC(G13*5%,2)</f>
        <v>11.04</v>
      </c>
      <c r="L13" s="107">
        <f t="shared" si="4"/>
        <v>13.25</v>
      </c>
      <c r="M13" s="107">
        <f t="shared" ref="M13" si="11">TRUNC(G13*3%,2)</f>
        <v>6.62</v>
      </c>
      <c r="N13" s="16" t="s">
        <v>22</v>
      </c>
      <c r="O13" s="338">
        <f t="shared" ref="O13" si="12">SUM(G13:N13)</f>
        <v>311.47000000000003</v>
      </c>
      <c r="P13" s="16" t="s">
        <v>22</v>
      </c>
      <c r="Q13" s="16" t="s">
        <v>22</v>
      </c>
      <c r="R13" s="371">
        <f t="shared" ref="R13" si="13">SUM(O13:Q13)</f>
        <v>311.47000000000003</v>
      </c>
    </row>
    <row r="14" spans="1:18" s="1" customFormat="1" ht="20.25" customHeight="1" x14ac:dyDescent="0.2">
      <c r="B14" s="361" t="s">
        <v>111</v>
      </c>
      <c r="C14" s="362"/>
      <c r="D14" s="362"/>
      <c r="E14" s="362"/>
      <c r="F14" s="363"/>
      <c r="G14" s="53"/>
      <c r="H14" s="364"/>
      <c r="I14" s="83"/>
      <c r="J14" s="83"/>
      <c r="K14" s="365"/>
      <c r="L14" s="368"/>
      <c r="M14" s="800">
        <f>+MATRIZ!H151</f>
        <v>80763.600000000006</v>
      </c>
      <c r="N14" s="801"/>
      <c r="O14" s="367" t="s">
        <v>504</v>
      </c>
      <c r="P14" s="43"/>
      <c r="Q14" s="43"/>
      <c r="R14" s="366"/>
    </row>
    <row r="15" spans="1:18" s="1" customFormat="1" ht="21.75" customHeight="1" x14ac:dyDescent="0.2">
      <c r="A15" s="2"/>
      <c r="B15" s="791" t="s">
        <v>499</v>
      </c>
      <c r="C15" s="792"/>
      <c r="D15" s="792"/>
      <c r="E15" s="792"/>
      <c r="F15" s="793"/>
      <c r="G15" s="14" t="s">
        <v>110</v>
      </c>
      <c r="H15" s="317"/>
      <c r="I15" s="317"/>
      <c r="J15" s="317"/>
      <c r="K15" s="317"/>
      <c r="L15" s="317"/>
      <c r="M15" s="317"/>
      <c r="N15" s="317"/>
      <c r="O15" s="317"/>
      <c r="P15" s="107"/>
      <c r="Q15" s="107"/>
      <c r="R15" s="86"/>
    </row>
    <row r="16" spans="1:18" s="1" customFormat="1" ht="12.75" x14ac:dyDescent="0.2">
      <c r="B16" s="51" t="s">
        <v>49</v>
      </c>
      <c r="C16" s="383"/>
      <c r="D16" s="383"/>
      <c r="E16" s="383" t="s">
        <v>50</v>
      </c>
      <c r="G16" s="14" t="s">
        <v>110</v>
      </c>
      <c r="H16" s="9"/>
      <c r="N16" s="9"/>
      <c r="O16" s="73"/>
      <c r="P16" s="7"/>
      <c r="Q16" s="7"/>
      <c r="R16" s="370"/>
    </row>
    <row r="17" spans="1:20" s="1" customFormat="1" ht="12.75" x14ac:dyDescent="0.2">
      <c r="B17" s="52">
        <f>B5</f>
        <v>0.01</v>
      </c>
      <c r="C17" s="312"/>
      <c r="D17" s="384" t="s">
        <v>11</v>
      </c>
      <c r="E17" s="312">
        <f>E5</f>
        <v>18435.099999999999</v>
      </c>
      <c r="F17" s="385" t="s">
        <v>489</v>
      </c>
      <c r="G17" s="53">
        <f>MATRIZ!I142</f>
        <v>290.48</v>
      </c>
      <c r="H17" s="107">
        <f>TRUNC(G17*2%,2)</f>
        <v>5.8</v>
      </c>
      <c r="I17" s="107">
        <f>TRUNC(G17*20%,2)</f>
        <v>58.09</v>
      </c>
      <c r="J17" s="107">
        <f>TRUNC(G17*5%,2)</f>
        <v>14.52</v>
      </c>
      <c r="K17" s="107">
        <f>TRUNC(G17*5%,2)</f>
        <v>14.52</v>
      </c>
      <c r="L17" s="107">
        <f>TRUNC(G17*6%,2)</f>
        <v>17.420000000000002</v>
      </c>
      <c r="M17" s="107">
        <f>TRUNC(G17*3%,2)</f>
        <v>8.7100000000000009</v>
      </c>
      <c r="N17" s="107">
        <f>MATRIZ!$I$373</f>
        <v>42.28</v>
      </c>
      <c r="O17" s="338">
        <f>SUM(G17:N17)</f>
        <v>451.81999999999994</v>
      </c>
      <c r="P17" s="107">
        <f>MATRIZ!$I$381</f>
        <v>32.57</v>
      </c>
      <c r="Q17" s="107">
        <f>MATRIZ!$I$382</f>
        <v>2.87</v>
      </c>
      <c r="R17" s="371">
        <f>SUM(O17:Q17)</f>
        <v>487.25999999999993</v>
      </c>
    </row>
    <row r="18" spans="1:20" s="1" customFormat="1" ht="12.75" x14ac:dyDescent="0.2">
      <c r="B18" s="52">
        <f t="shared" ref="B18:B24" si="14">B6</f>
        <v>18435.109999999997</v>
      </c>
      <c r="C18" s="312"/>
      <c r="D18" s="384" t="s">
        <v>11</v>
      </c>
      <c r="E18" s="312">
        <f t="shared" ref="E18:E24" si="15">E6</f>
        <v>36870.230000000003</v>
      </c>
      <c r="G18" s="53">
        <f>MATRIZ!I143</f>
        <v>480</v>
      </c>
      <c r="H18" s="107">
        <f t="shared" ref="H18:H25" si="16">TRUNC(G18*2%,2)</f>
        <v>9.6</v>
      </c>
      <c r="I18" s="107">
        <f t="shared" ref="I18:I25" si="17">TRUNC(G18*20%,2)</f>
        <v>96</v>
      </c>
      <c r="J18" s="107">
        <f t="shared" ref="J18:J25" si="18">TRUNC(G18*5%,2)</f>
        <v>24</v>
      </c>
      <c r="K18" s="107">
        <f t="shared" ref="K18:K25" si="19">TRUNC(G18*5%,2)</f>
        <v>24</v>
      </c>
      <c r="L18" s="107">
        <f t="shared" ref="L18:L25" si="20">TRUNC(G18*6%,2)</f>
        <v>28.8</v>
      </c>
      <c r="M18" s="107">
        <f t="shared" ref="M18:M25" si="21">TRUNC(G18*3%,2)</f>
        <v>14.4</v>
      </c>
      <c r="N18" s="107">
        <f>MATRIZ!$I$373</f>
        <v>42.28</v>
      </c>
      <c r="O18" s="338">
        <f t="shared" ref="O18:O25" si="22">SUM(G18:N18)</f>
        <v>719.07999999999993</v>
      </c>
      <c r="P18" s="107">
        <f>MATRIZ!$I$381</f>
        <v>32.57</v>
      </c>
      <c r="Q18" s="107">
        <f>MATRIZ!$I$382</f>
        <v>2.87</v>
      </c>
      <c r="R18" s="371">
        <f t="shared" ref="R18:R25" si="23">SUM(O18:Q18)</f>
        <v>754.52</v>
      </c>
    </row>
    <row r="19" spans="1:20" s="1" customFormat="1" ht="12.75" x14ac:dyDescent="0.2">
      <c r="B19" s="52">
        <f t="shared" si="14"/>
        <v>36870.240000000005</v>
      </c>
      <c r="C19" s="312"/>
      <c r="D19" s="384" t="s">
        <v>11</v>
      </c>
      <c r="E19" s="312">
        <f t="shared" si="15"/>
        <v>55305.35</v>
      </c>
      <c r="G19" s="53">
        <f>MATRIZ!I144</f>
        <v>669.56</v>
      </c>
      <c r="H19" s="107">
        <f t="shared" si="16"/>
        <v>13.39</v>
      </c>
      <c r="I19" s="107">
        <f t="shared" si="17"/>
        <v>133.91</v>
      </c>
      <c r="J19" s="107">
        <f t="shared" si="18"/>
        <v>33.47</v>
      </c>
      <c r="K19" s="107">
        <f t="shared" si="19"/>
        <v>33.47</v>
      </c>
      <c r="L19" s="107">
        <f t="shared" si="20"/>
        <v>40.17</v>
      </c>
      <c r="M19" s="107">
        <f t="shared" si="21"/>
        <v>20.079999999999998</v>
      </c>
      <c r="N19" s="107">
        <f>MATRIZ!$I$373</f>
        <v>42.28</v>
      </c>
      <c r="O19" s="338">
        <f t="shared" si="22"/>
        <v>986.32999999999993</v>
      </c>
      <c r="P19" s="107">
        <f>MATRIZ!$I$381</f>
        <v>32.57</v>
      </c>
      <c r="Q19" s="107">
        <f>MATRIZ!$I$382</f>
        <v>2.87</v>
      </c>
      <c r="R19" s="371">
        <f t="shared" si="23"/>
        <v>1021.77</v>
      </c>
    </row>
    <row r="20" spans="1:20" s="1" customFormat="1" ht="12.75" x14ac:dyDescent="0.2">
      <c r="B20" s="52">
        <f t="shared" si="14"/>
        <v>55305.36</v>
      </c>
      <c r="C20" s="312"/>
      <c r="D20" s="384" t="s">
        <v>11</v>
      </c>
      <c r="E20" s="312">
        <f t="shared" si="15"/>
        <v>73740.490000000005</v>
      </c>
      <c r="G20" s="53">
        <f>MATRIZ!I145</f>
        <v>821.15</v>
      </c>
      <c r="H20" s="107">
        <f t="shared" si="16"/>
        <v>16.420000000000002</v>
      </c>
      <c r="I20" s="107">
        <f t="shared" si="17"/>
        <v>164.23</v>
      </c>
      <c r="J20" s="107">
        <f t="shared" si="18"/>
        <v>41.05</v>
      </c>
      <c r="K20" s="107">
        <f t="shared" si="19"/>
        <v>41.05</v>
      </c>
      <c r="L20" s="107">
        <f t="shared" si="20"/>
        <v>49.26</v>
      </c>
      <c r="M20" s="107">
        <f t="shared" si="21"/>
        <v>24.63</v>
      </c>
      <c r="N20" s="107">
        <f>MATRIZ!$I$373</f>
        <v>42.28</v>
      </c>
      <c r="O20" s="338">
        <f t="shared" si="22"/>
        <v>1200.07</v>
      </c>
      <c r="P20" s="107">
        <f>MATRIZ!$I$381</f>
        <v>32.57</v>
      </c>
      <c r="Q20" s="107">
        <f>MATRIZ!$I$382</f>
        <v>2.87</v>
      </c>
      <c r="R20" s="371">
        <f t="shared" si="23"/>
        <v>1235.5099999999998</v>
      </c>
    </row>
    <row r="21" spans="1:20" s="1" customFormat="1" ht="12.75" x14ac:dyDescent="0.2">
      <c r="B21" s="52">
        <f t="shared" si="14"/>
        <v>73740.5</v>
      </c>
      <c r="C21" s="312"/>
      <c r="D21" s="384" t="s">
        <v>11</v>
      </c>
      <c r="E21" s="312">
        <f t="shared" si="15"/>
        <v>98320.639999999999</v>
      </c>
      <c r="G21" s="53">
        <f>MATRIZ!I146</f>
        <v>1455.47</v>
      </c>
      <c r="H21" s="107">
        <f t="shared" si="16"/>
        <v>29.1</v>
      </c>
      <c r="I21" s="107">
        <f t="shared" si="17"/>
        <v>291.08999999999997</v>
      </c>
      <c r="J21" s="107">
        <f t="shared" si="18"/>
        <v>72.77</v>
      </c>
      <c r="K21" s="107">
        <f t="shared" si="19"/>
        <v>72.77</v>
      </c>
      <c r="L21" s="107">
        <f t="shared" si="20"/>
        <v>87.32</v>
      </c>
      <c r="M21" s="107">
        <f t="shared" si="21"/>
        <v>43.66</v>
      </c>
      <c r="N21" s="107">
        <f>MATRIZ!$I$373</f>
        <v>42.28</v>
      </c>
      <c r="O21" s="338">
        <f t="shared" si="22"/>
        <v>2094.46</v>
      </c>
      <c r="P21" s="107">
        <f>MATRIZ!$I$381</f>
        <v>32.57</v>
      </c>
      <c r="Q21" s="107">
        <f>MATRIZ!$I$382</f>
        <v>2.87</v>
      </c>
      <c r="R21" s="371">
        <f t="shared" si="23"/>
        <v>2129.9</v>
      </c>
    </row>
    <row r="22" spans="1:20" s="1" customFormat="1" ht="12.75" x14ac:dyDescent="0.2">
      <c r="B22" s="52">
        <f t="shared" si="14"/>
        <v>98320.65</v>
      </c>
      <c r="C22" s="312"/>
      <c r="D22" s="384" t="s">
        <v>11</v>
      </c>
      <c r="E22" s="312">
        <f t="shared" si="15"/>
        <v>122900.81</v>
      </c>
      <c r="G22" s="53">
        <f>MATRIZ!I147</f>
        <v>1718.27</v>
      </c>
      <c r="H22" s="107">
        <f t="shared" si="16"/>
        <v>34.36</v>
      </c>
      <c r="I22" s="107">
        <f t="shared" si="17"/>
        <v>343.65</v>
      </c>
      <c r="J22" s="107">
        <f t="shared" si="18"/>
        <v>85.91</v>
      </c>
      <c r="K22" s="107">
        <f t="shared" si="19"/>
        <v>85.91</v>
      </c>
      <c r="L22" s="107">
        <f t="shared" si="20"/>
        <v>103.09</v>
      </c>
      <c r="M22" s="107">
        <f t="shared" si="21"/>
        <v>51.54</v>
      </c>
      <c r="N22" s="107">
        <f>MATRIZ!$I$373</f>
        <v>42.28</v>
      </c>
      <c r="O22" s="338">
        <f t="shared" si="22"/>
        <v>2465.0099999999998</v>
      </c>
      <c r="P22" s="107">
        <f>MATRIZ!$I$381</f>
        <v>32.57</v>
      </c>
      <c r="Q22" s="107">
        <f>MATRIZ!$I$382</f>
        <v>2.87</v>
      </c>
      <c r="R22" s="371">
        <f t="shared" si="23"/>
        <v>2500.4499999999998</v>
      </c>
    </row>
    <row r="23" spans="1:20" s="1" customFormat="1" ht="12.75" x14ac:dyDescent="0.2">
      <c r="B23" s="52">
        <f t="shared" si="14"/>
        <v>122900.81999999999</v>
      </c>
      <c r="C23" s="312"/>
      <c r="D23" s="384" t="s">
        <v>11</v>
      </c>
      <c r="E23" s="312">
        <f t="shared" si="15"/>
        <v>245801.64</v>
      </c>
      <c r="G23" s="53">
        <f>MATRIZ!I148</f>
        <v>2324.7199999999998</v>
      </c>
      <c r="H23" s="107">
        <f t="shared" si="16"/>
        <v>46.49</v>
      </c>
      <c r="I23" s="107">
        <f t="shared" si="17"/>
        <v>464.94</v>
      </c>
      <c r="J23" s="107">
        <f t="shared" si="18"/>
        <v>116.23</v>
      </c>
      <c r="K23" s="107">
        <f t="shared" si="19"/>
        <v>116.23</v>
      </c>
      <c r="L23" s="107">
        <f t="shared" si="20"/>
        <v>139.47999999999999</v>
      </c>
      <c r="M23" s="107">
        <f t="shared" si="21"/>
        <v>69.739999999999995</v>
      </c>
      <c r="N23" s="107">
        <f>MATRIZ!$I$373</f>
        <v>42.28</v>
      </c>
      <c r="O23" s="338">
        <f t="shared" si="22"/>
        <v>3320.1099999999997</v>
      </c>
      <c r="P23" s="107">
        <f>MATRIZ!$I$381</f>
        <v>32.57</v>
      </c>
      <c r="Q23" s="107">
        <f>MATRIZ!$I$382</f>
        <v>2.87</v>
      </c>
      <c r="R23" s="371">
        <f t="shared" si="23"/>
        <v>3355.5499999999997</v>
      </c>
    </row>
    <row r="24" spans="1:20" s="1" customFormat="1" ht="12.75" x14ac:dyDescent="0.2">
      <c r="B24" s="52">
        <f t="shared" si="14"/>
        <v>245801.65000000002</v>
      </c>
      <c r="C24" s="312"/>
      <c r="D24" s="384" t="s">
        <v>11</v>
      </c>
      <c r="E24" s="312">
        <f t="shared" si="15"/>
        <v>491603.3</v>
      </c>
      <c r="G24" s="53">
        <f>MATRIZ!I149</f>
        <v>2494.48</v>
      </c>
      <c r="H24" s="107">
        <f t="shared" si="16"/>
        <v>49.88</v>
      </c>
      <c r="I24" s="107">
        <f t="shared" si="17"/>
        <v>498.89</v>
      </c>
      <c r="J24" s="107">
        <f t="shared" si="18"/>
        <v>124.72</v>
      </c>
      <c r="K24" s="107">
        <f t="shared" si="19"/>
        <v>124.72</v>
      </c>
      <c r="L24" s="107">
        <f t="shared" si="20"/>
        <v>149.66</v>
      </c>
      <c r="M24" s="107">
        <f t="shared" si="21"/>
        <v>74.83</v>
      </c>
      <c r="N24" s="107">
        <f>MATRIZ!$I$373</f>
        <v>42.28</v>
      </c>
      <c r="O24" s="338">
        <f t="shared" si="22"/>
        <v>3559.4599999999996</v>
      </c>
      <c r="P24" s="107">
        <f>MATRIZ!$I$381</f>
        <v>32.57</v>
      </c>
      <c r="Q24" s="107">
        <f>MATRIZ!$I$382</f>
        <v>2.87</v>
      </c>
      <c r="R24" s="371">
        <f t="shared" si="23"/>
        <v>3594.8999999999996</v>
      </c>
    </row>
    <row r="25" spans="1:20" s="1" customFormat="1" ht="30.75" customHeight="1" x14ac:dyDescent="0.2">
      <c r="B25" s="794" t="s">
        <v>640</v>
      </c>
      <c r="C25" s="769"/>
      <c r="D25" s="769"/>
      <c r="E25" s="769"/>
      <c r="F25" s="769"/>
      <c r="G25" s="53">
        <f>MATRIZ!I150</f>
        <v>220.93</v>
      </c>
      <c r="H25" s="107">
        <f t="shared" si="16"/>
        <v>4.41</v>
      </c>
      <c r="I25" s="107">
        <f t="shared" si="17"/>
        <v>44.18</v>
      </c>
      <c r="J25" s="107">
        <f t="shared" si="18"/>
        <v>11.04</v>
      </c>
      <c r="K25" s="107">
        <f t="shared" si="19"/>
        <v>11.04</v>
      </c>
      <c r="L25" s="107">
        <f t="shared" si="20"/>
        <v>13.25</v>
      </c>
      <c r="M25" s="107">
        <f t="shared" si="21"/>
        <v>6.62</v>
      </c>
      <c r="N25" s="16" t="s">
        <v>22</v>
      </c>
      <c r="O25" s="338">
        <f t="shared" si="22"/>
        <v>311.47000000000003</v>
      </c>
      <c r="P25" s="16" t="s">
        <v>22</v>
      </c>
      <c r="Q25" s="16" t="s">
        <v>22</v>
      </c>
      <c r="R25" s="374">
        <f t="shared" si="23"/>
        <v>311.47000000000003</v>
      </c>
    </row>
    <row r="26" spans="1:20" s="1" customFormat="1" ht="20.25" customHeight="1" x14ac:dyDescent="0.2">
      <c r="B26" s="361" t="s">
        <v>492</v>
      </c>
      <c r="C26" s="362"/>
      <c r="D26" s="362"/>
      <c r="E26" s="362"/>
      <c r="F26" s="363"/>
      <c r="G26" s="53"/>
      <c r="H26" s="364"/>
      <c r="I26" s="83"/>
      <c r="J26" s="83"/>
      <c r="K26" s="365"/>
      <c r="L26" s="364"/>
      <c r="M26" s="802">
        <f>MATRIZ!H155</f>
        <v>101700.61</v>
      </c>
      <c r="N26" s="802"/>
      <c r="O26" s="367" t="s">
        <v>488</v>
      </c>
      <c r="P26" s="43"/>
      <c r="Q26" s="43"/>
      <c r="R26" s="56"/>
    </row>
    <row r="27" spans="1:20" s="1" customFormat="1" ht="24" customHeight="1" x14ac:dyDescent="0.2">
      <c r="B27" s="361" t="s">
        <v>491</v>
      </c>
      <c r="C27" s="361"/>
      <c r="D27" s="361"/>
      <c r="E27" s="361"/>
      <c r="F27" s="369">
        <f>MATRIZ!H155</f>
        <v>101700.61</v>
      </c>
      <c r="G27" s="376">
        <v>73114.574999999997</v>
      </c>
      <c r="H27" s="17">
        <f>G27*2%</f>
        <v>1462.2915</v>
      </c>
      <c r="I27" s="17">
        <f>G27*20%</f>
        <v>14622.915000000001</v>
      </c>
      <c r="J27" s="17">
        <f>G27*5%</f>
        <v>3655.7287500000002</v>
      </c>
      <c r="K27" s="17">
        <f>G27*5%</f>
        <v>3655.7287500000002</v>
      </c>
      <c r="L27" s="17">
        <f>G27*4%</f>
        <v>2924.5830000000001</v>
      </c>
      <c r="M27" s="17">
        <f>G27*3%</f>
        <v>2193.4372499999999</v>
      </c>
      <c r="N27" s="17">
        <v>35.909999999999997</v>
      </c>
      <c r="O27" s="404">
        <f>SUM(G27:N27)</f>
        <v>101665.16925000001</v>
      </c>
      <c r="P27" s="17">
        <f>+MATRIZ!I381</f>
        <v>32.57</v>
      </c>
      <c r="Q27" s="17">
        <f>+MATRIZ!I382</f>
        <v>2.87</v>
      </c>
      <c r="R27" s="386">
        <f>SUM(O27:Q27)</f>
        <v>101700.60925000001</v>
      </c>
      <c r="S27" s="58"/>
      <c r="T27" s="22"/>
    </row>
    <row r="28" spans="1:20" s="1" customFormat="1" ht="36" customHeight="1" x14ac:dyDescent="0.2">
      <c r="A28" s="2"/>
      <c r="B28" s="797" t="s">
        <v>490</v>
      </c>
      <c r="C28" s="798"/>
      <c r="D28" s="798"/>
      <c r="E28" s="798"/>
      <c r="F28" s="799"/>
      <c r="G28" s="327">
        <f>MATRIZ!I157</f>
        <v>2028.53</v>
      </c>
      <c r="H28" s="107">
        <f>TRUNC(G28*2%,2)</f>
        <v>40.57</v>
      </c>
      <c r="I28" s="107">
        <f>TRUNC(G28*20%,2)</f>
        <v>405.7</v>
      </c>
      <c r="J28" s="107">
        <f>TRUNC(G28*5%,2)</f>
        <v>101.42</v>
      </c>
      <c r="K28" s="107">
        <f>TRUNC(G28*5%,2)</f>
        <v>101.42</v>
      </c>
      <c r="L28" s="107">
        <f>TRUNC(G28*6%,2)</f>
        <v>121.71</v>
      </c>
      <c r="M28" s="107">
        <f>TRUNC(G28*3%,2)</f>
        <v>60.85</v>
      </c>
      <c r="N28" s="107">
        <f>MATRIZ!$I$373</f>
        <v>42.28</v>
      </c>
      <c r="O28" s="338">
        <f>SUM(G28:N28)</f>
        <v>2902.48</v>
      </c>
      <c r="P28" s="16" t="s">
        <v>22</v>
      </c>
      <c r="Q28" s="107">
        <f>MATRIZ!$I$382</f>
        <v>2.87</v>
      </c>
      <c r="R28" s="371">
        <f>SUM(O28:Q28)</f>
        <v>2905.35</v>
      </c>
      <c r="T28" s="59"/>
    </row>
    <row r="29" spans="1:20" s="1" customFormat="1" ht="16.5" customHeight="1" x14ac:dyDescent="0.2">
      <c r="B29" s="761" t="s">
        <v>112</v>
      </c>
      <c r="C29" s="762"/>
      <c r="D29" s="762"/>
      <c r="E29" s="762"/>
      <c r="F29" s="763"/>
      <c r="G29" s="327">
        <f>MATRIZ!I158</f>
        <v>139.77000000000001</v>
      </c>
      <c r="H29" s="107">
        <f>TRUNC(G29*2%,2)</f>
        <v>2.79</v>
      </c>
      <c r="I29" s="107">
        <f>TRUNC(G29*20%,2)</f>
        <v>27.95</v>
      </c>
      <c r="J29" s="107">
        <f>TRUNC(G29*5%,2)</f>
        <v>6.98</v>
      </c>
      <c r="K29" s="107">
        <f>TRUNC(G29*5%,2)</f>
        <v>6.98</v>
      </c>
      <c r="L29" s="107">
        <f t="shared" ref="L29:L49" si="24">TRUNC(G29*6%,2)</f>
        <v>8.3800000000000008</v>
      </c>
      <c r="M29" s="107">
        <f>TRUNC(G29*3%,2)</f>
        <v>4.1900000000000004</v>
      </c>
      <c r="N29" s="16" t="s">
        <v>22</v>
      </c>
      <c r="O29" s="338">
        <f>SUM(G29:N29)</f>
        <v>197.03999999999996</v>
      </c>
      <c r="P29" s="16" t="s">
        <v>22</v>
      </c>
      <c r="Q29" s="107">
        <f>MATRIZ!$I$382</f>
        <v>2.87</v>
      </c>
      <c r="R29" s="371">
        <f>SUM(O29:Q29)</f>
        <v>199.90999999999997</v>
      </c>
      <c r="T29" s="59"/>
    </row>
    <row r="30" spans="1:20" s="1" customFormat="1" x14ac:dyDescent="0.25">
      <c r="B30" s="377" t="s">
        <v>113</v>
      </c>
      <c r="C30" s="4"/>
      <c r="D30" s="4"/>
      <c r="E30" s="4"/>
      <c r="F30" s="4"/>
      <c r="G30" s="14" t="s">
        <v>110</v>
      </c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86"/>
      <c r="T30" s="59"/>
    </row>
    <row r="31" spans="1:20" s="1" customFormat="1" ht="31.5" customHeight="1" x14ac:dyDescent="0.2">
      <c r="A31" s="2"/>
      <c r="B31" s="761" t="s">
        <v>114</v>
      </c>
      <c r="C31" s="762"/>
      <c r="D31" s="762"/>
      <c r="E31" s="762"/>
      <c r="F31" s="762"/>
      <c r="G31" s="53">
        <f>MATRIZ!I160</f>
        <v>185.01</v>
      </c>
      <c r="H31" s="107">
        <f>TRUNC(G31*2%,2)</f>
        <v>3.7</v>
      </c>
      <c r="I31" s="107">
        <f>TRUNC(G31*20%,2)</f>
        <v>37</v>
      </c>
      <c r="J31" s="107">
        <f>TRUNC(G31*5%,2)</f>
        <v>9.25</v>
      </c>
      <c r="K31" s="107">
        <f>TRUNC(G31*5%,2)</f>
        <v>9.25</v>
      </c>
      <c r="L31" s="107">
        <f t="shared" si="24"/>
        <v>11.1</v>
      </c>
      <c r="M31" s="107">
        <f>TRUNC(G31*3%,2)</f>
        <v>5.55</v>
      </c>
      <c r="N31" s="107">
        <f>MATRIZ!$I$373</f>
        <v>42.28</v>
      </c>
      <c r="O31" s="338">
        <f>SUM(G31:N31)</f>
        <v>303.14</v>
      </c>
      <c r="P31" s="16" t="s">
        <v>22</v>
      </c>
      <c r="Q31" s="107">
        <f>MATRIZ!$I$382</f>
        <v>2.87</v>
      </c>
      <c r="R31" s="371">
        <f>SUM(O31:Q31)</f>
        <v>306.01</v>
      </c>
    </row>
    <row r="32" spans="1:20" s="1" customFormat="1" ht="31.5" customHeight="1" x14ac:dyDescent="0.2">
      <c r="A32" s="2"/>
      <c r="B32" s="761" t="s">
        <v>115</v>
      </c>
      <c r="C32" s="762"/>
      <c r="D32" s="762"/>
      <c r="E32" s="762"/>
      <c r="F32" s="762"/>
      <c r="G32" s="53">
        <f>MATRIZ!I161</f>
        <v>396.98</v>
      </c>
      <c r="H32" s="107">
        <f t="shared" ref="H32:H49" si="25">TRUNC(G32*2%,2)</f>
        <v>7.93</v>
      </c>
      <c r="I32" s="107">
        <f t="shared" ref="I32:I33" si="26">TRUNC(G32*20%,2)</f>
        <v>79.39</v>
      </c>
      <c r="J32" s="107">
        <f t="shared" ref="J32:J33" si="27">TRUNC(G32*5%,2)</f>
        <v>19.84</v>
      </c>
      <c r="K32" s="107">
        <f t="shared" ref="K32:K33" si="28">TRUNC(G32*5%,2)</f>
        <v>19.84</v>
      </c>
      <c r="L32" s="107">
        <f t="shared" si="24"/>
        <v>23.81</v>
      </c>
      <c r="M32" s="107">
        <f t="shared" ref="M32:M33" si="29">TRUNC(G32*3%,2)</f>
        <v>11.9</v>
      </c>
      <c r="N32" s="107">
        <f>MATRIZ!$I$373</f>
        <v>42.28</v>
      </c>
      <c r="O32" s="338">
        <f t="shared" ref="O32:O33" si="30">SUM(G32:N32)</f>
        <v>601.96999999999991</v>
      </c>
      <c r="P32" s="16" t="s">
        <v>22</v>
      </c>
      <c r="Q32" s="107">
        <f>MATRIZ!$I$382</f>
        <v>2.87</v>
      </c>
      <c r="R32" s="371">
        <f t="shared" ref="R32:R33" si="31">SUM(O32:Q32)</f>
        <v>604.83999999999992</v>
      </c>
    </row>
    <row r="33" spans="2:18" s="1" customFormat="1" ht="16.5" customHeight="1" x14ac:dyDescent="0.2">
      <c r="B33" s="761" t="s">
        <v>495</v>
      </c>
      <c r="C33" s="769"/>
      <c r="D33" s="769"/>
      <c r="E33" s="769"/>
      <c r="F33" s="770"/>
      <c r="G33" s="53">
        <f>MATRIZ!I162</f>
        <v>185.01</v>
      </c>
      <c r="H33" s="107">
        <f t="shared" si="25"/>
        <v>3.7</v>
      </c>
      <c r="I33" s="107">
        <f t="shared" si="26"/>
        <v>37</v>
      </c>
      <c r="J33" s="107">
        <f t="shared" si="27"/>
        <v>9.25</v>
      </c>
      <c r="K33" s="107">
        <f t="shared" si="28"/>
        <v>9.25</v>
      </c>
      <c r="L33" s="107">
        <f t="shared" si="24"/>
        <v>11.1</v>
      </c>
      <c r="M33" s="107">
        <f t="shared" si="29"/>
        <v>5.55</v>
      </c>
      <c r="N33" s="107">
        <f>MATRIZ!$I$373</f>
        <v>42.28</v>
      </c>
      <c r="O33" s="338">
        <f t="shared" si="30"/>
        <v>303.14</v>
      </c>
      <c r="P33" s="16" t="s">
        <v>22</v>
      </c>
      <c r="Q33" s="107">
        <f>MATRIZ!$I$382</f>
        <v>2.87</v>
      </c>
      <c r="R33" s="371">
        <f t="shared" si="31"/>
        <v>306.01</v>
      </c>
    </row>
    <row r="34" spans="2:18" s="1" customFormat="1" ht="16.5" customHeight="1" x14ac:dyDescent="0.2">
      <c r="B34" s="761" t="s">
        <v>500</v>
      </c>
      <c r="C34" s="762"/>
      <c r="D34" s="762"/>
      <c r="E34" s="762"/>
      <c r="F34" s="763"/>
      <c r="G34" s="53">
        <f>MATRIZ!I163</f>
        <v>486.67</v>
      </c>
      <c r="H34" s="107">
        <f t="shared" si="25"/>
        <v>9.73</v>
      </c>
      <c r="I34" s="107">
        <f t="shared" ref="I34:I35" si="32">TRUNC(G34*20%,2)</f>
        <v>97.33</v>
      </c>
      <c r="J34" s="107">
        <f t="shared" ref="J34:J35" si="33">TRUNC(G34*5%,2)</f>
        <v>24.33</v>
      </c>
      <c r="K34" s="107">
        <f t="shared" ref="K34:K35" si="34">TRUNC(G34*5%,2)</f>
        <v>24.33</v>
      </c>
      <c r="L34" s="107">
        <f t="shared" si="24"/>
        <v>29.2</v>
      </c>
      <c r="M34" s="107">
        <f t="shared" ref="M34:M35" si="35">TRUNC(G34*3%,2)</f>
        <v>14.6</v>
      </c>
      <c r="N34" s="107">
        <f>MATRIZ!$I$373</f>
        <v>42.28</v>
      </c>
      <c r="O34" s="338">
        <f t="shared" ref="O34:O35" si="36">SUM(G34:N34)</f>
        <v>728.47000000000014</v>
      </c>
      <c r="P34" s="16" t="s">
        <v>22</v>
      </c>
      <c r="Q34" s="107">
        <f>MATRIZ!$I$382</f>
        <v>2.87</v>
      </c>
      <c r="R34" s="371">
        <f t="shared" ref="R34:R35" si="37">SUM(O34:Q34)</f>
        <v>731.34000000000015</v>
      </c>
    </row>
    <row r="35" spans="2:18" s="1" customFormat="1" x14ac:dyDescent="0.25">
      <c r="B35" s="378" t="s">
        <v>497</v>
      </c>
      <c r="C35" s="4"/>
      <c r="D35" s="4"/>
      <c r="E35" s="4"/>
      <c r="F35" s="4"/>
      <c r="G35" s="53">
        <f>MATRIZ!I165</f>
        <v>154.08000000000001</v>
      </c>
      <c r="H35" s="107">
        <f t="shared" si="25"/>
        <v>3.08</v>
      </c>
      <c r="I35" s="107">
        <f t="shared" si="32"/>
        <v>30.81</v>
      </c>
      <c r="J35" s="107">
        <f t="shared" si="33"/>
        <v>7.7</v>
      </c>
      <c r="K35" s="107">
        <f t="shared" si="34"/>
        <v>7.7</v>
      </c>
      <c r="L35" s="107">
        <f t="shared" si="24"/>
        <v>9.24</v>
      </c>
      <c r="M35" s="107">
        <f t="shared" si="35"/>
        <v>4.62</v>
      </c>
      <c r="N35" s="107">
        <f>MATRIZ!$I$373</f>
        <v>42.28</v>
      </c>
      <c r="O35" s="338">
        <f t="shared" si="36"/>
        <v>259.51</v>
      </c>
      <c r="P35" s="16" t="s">
        <v>22</v>
      </c>
      <c r="Q35" s="107">
        <f>MATRIZ!$I$382</f>
        <v>2.87</v>
      </c>
      <c r="R35" s="371">
        <f t="shared" si="37"/>
        <v>262.38</v>
      </c>
    </row>
    <row r="36" spans="2:18" s="1" customFormat="1" ht="15.75" customHeight="1" x14ac:dyDescent="0.2">
      <c r="B36" s="60" t="s">
        <v>116</v>
      </c>
      <c r="C36" s="122"/>
      <c r="D36" s="4"/>
      <c r="E36" s="4"/>
      <c r="F36" s="4"/>
      <c r="G36" s="57" t="s">
        <v>247</v>
      </c>
      <c r="H36" s="107"/>
      <c r="I36" s="107"/>
      <c r="J36" s="107"/>
      <c r="K36" s="107"/>
      <c r="L36" s="107"/>
      <c r="M36" s="107"/>
      <c r="N36" s="107"/>
      <c r="O36" s="107"/>
      <c r="P36" s="16"/>
      <c r="Q36" s="107"/>
      <c r="R36" s="372"/>
    </row>
    <row r="37" spans="2:18" s="1" customFormat="1" ht="16.5" customHeight="1" x14ac:dyDescent="0.25">
      <c r="B37" s="378" t="s">
        <v>117</v>
      </c>
      <c r="C37" s="4"/>
      <c r="D37" s="4"/>
      <c r="E37" s="4"/>
      <c r="F37" s="4"/>
      <c r="G37" s="53">
        <f>MATRIZ!I167</f>
        <v>1106.0999999999999</v>
      </c>
      <c r="H37" s="107">
        <f t="shared" si="25"/>
        <v>22.12</v>
      </c>
      <c r="I37" s="107">
        <f t="shared" ref="I37" si="38">TRUNC(G37*20%,2)</f>
        <v>221.22</v>
      </c>
      <c r="J37" s="107">
        <f t="shared" ref="J37" si="39">TRUNC(G37*5%,2)</f>
        <v>55.3</v>
      </c>
      <c r="K37" s="107">
        <f t="shared" ref="K37" si="40">TRUNC(G37*5%,2)</f>
        <v>55.3</v>
      </c>
      <c r="L37" s="107">
        <f t="shared" si="24"/>
        <v>66.36</v>
      </c>
      <c r="M37" s="107">
        <f t="shared" ref="M37" si="41">TRUNC(G37*3%,2)</f>
        <v>33.18</v>
      </c>
      <c r="N37" s="107">
        <f>MATRIZ!$I$373</f>
        <v>42.28</v>
      </c>
      <c r="O37" s="338">
        <f t="shared" ref="O37" si="42">SUM(G37:N37)</f>
        <v>1601.8599999999997</v>
      </c>
      <c r="P37" s="16" t="s">
        <v>22</v>
      </c>
      <c r="Q37" s="107">
        <f>MATRIZ!$I$382</f>
        <v>2.87</v>
      </c>
      <c r="R37" s="371">
        <f t="shared" ref="R37" si="43">SUM(O37:Q37)</f>
        <v>1604.7299999999996</v>
      </c>
    </row>
    <row r="38" spans="2:18" s="1" customFormat="1" ht="12.75" x14ac:dyDescent="0.2">
      <c r="B38" s="60" t="s">
        <v>118</v>
      </c>
      <c r="C38" s="4"/>
      <c r="D38" s="4"/>
      <c r="E38" s="4"/>
      <c r="F38" s="4"/>
      <c r="G38" s="53">
        <f>MATRIZ!I168</f>
        <v>25.15</v>
      </c>
      <c r="H38" s="107">
        <f t="shared" si="25"/>
        <v>0.5</v>
      </c>
      <c r="I38" s="107">
        <f t="shared" ref="I38" si="44">TRUNC(G38*20%,2)</f>
        <v>5.03</v>
      </c>
      <c r="J38" s="107">
        <f t="shared" ref="J38" si="45">TRUNC(G38*5%,2)</f>
        <v>1.25</v>
      </c>
      <c r="K38" s="107">
        <f t="shared" ref="K38" si="46">TRUNC(G38*5%,2)</f>
        <v>1.25</v>
      </c>
      <c r="L38" s="107">
        <f t="shared" si="24"/>
        <v>1.5</v>
      </c>
      <c r="M38" s="107">
        <f t="shared" ref="M38" si="47">TRUNC(G38*3%,2)</f>
        <v>0.75</v>
      </c>
      <c r="N38" s="16" t="s">
        <v>22</v>
      </c>
      <c r="O38" s="338">
        <f t="shared" ref="O38" si="48">SUM(G38:N38)</f>
        <v>35.43</v>
      </c>
      <c r="P38" s="16" t="s">
        <v>22</v>
      </c>
      <c r="Q38" s="16" t="s">
        <v>22</v>
      </c>
      <c r="R38" s="371">
        <f t="shared" ref="R38" si="49">SUM(O38:Q38)</f>
        <v>35.43</v>
      </c>
    </row>
    <row r="39" spans="2:18" s="1" customFormat="1" ht="17.25" customHeight="1" x14ac:dyDescent="0.2">
      <c r="B39" s="379" t="s">
        <v>119</v>
      </c>
      <c r="C39" s="387"/>
      <c r="D39" s="387"/>
      <c r="E39" s="387"/>
      <c r="F39" s="387"/>
      <c r="G39" s="53" t="str">
        <f>MATRIZ!I169</f>
        <v>---</v>
      </c>
      <c r="H39" s="107"/>
      <c r="I39" s="107"/>
      <c r="J39" s="107"/>
      <c r="K39" s="107"/>
      <c r="L39" s="107"/>
      <c r="M39" s="107"/>
      <c r="N39" s="115"/>
      <c r="O39" s="115"/>
      <c r="P39" s="16" t="s">
        <v>22</v>
      </c>
      <c r="Q39" s="107"/>
      <c r="R39" s="86"/>
    </row>
    <row r="40" spans="2:18" s="1" customFormat="1" ht="14.25" x14ac:dyDescent="0.2">
      <c r="B40" s="60" t="s">
        <v>120</v>
      </c>
      <c r="C40" s="387"/>
      <c r="D40" s="387"/>
      <c r="E40" s="387"/>
      <c r="F40" s="387"/>
      <c r="G40" s="53">
        <f>MATRIZ!I170</f>
        <v>26.39</v>
      </c>
      <c r="H40" s="107">
        <f t="shared" si="25"/>
        <v>0.52</v>
      </c>
      <c r="I40" s="107">
        <f t="shared" ref="I40:I41" si="50">TRUNC(G40*20%,2)</f>
        <v>5.27</v>
      </c>
      <c r="J40" s="107">
        <f t="shared" ref="J40:J41" si="51">TRUNC(G40*5%,2)</f>
        <v>1.31</v>
      </c>
      <c r="K40" s="107">
        <f t="shared" ref="K40:K41" si="52">TRUNC(G40*5%,2)</f>
        <v>1.31</v>
      </c>
      <c r="L40" s="107">
        <f t="shared" si="24"/>
        <v>1.58</v>
      </c>
      <c r="M40" s="107">
        <f t="shared" ref="M40:M41" si="53">TRUNC(G40*3%,2)</f>
        <v>0.79</v>
      </c>
      <c r="N40" s="107">
        <f>MATRIZ!$I$373</f>
        <v>42.28</v>
      </c>
      <c r="O40" s="338">
        <f t="shared" ref="O40:O41" si="54">SUM(G40:N40)</f>
        <v>79.45</v>
      </c>
      <c r="P40" s="16" t="s">
        <v>22</v>
      </c>
      <c r="Q40" s="107">
        <f>MATRIZ!$I$382</f>
        <v>2.87</v>
      </c>
      <c r="R40" s="371">
        <f t="shared" ref="R40:R41" si="55">SUM(O40:Q40)</f>
        <v>82.320000000000007</v>
      </c>
    </row>
    <row r="41" spans="2:18" s="1" customFormat="1" ht="14.25" x14ac:dyDescent="0.2">
      <c r="B41" s="60" t="s">
        <v>121</v>
      </c>
      <c r="C41" s="387"/>
      <c r="D41" s="387"/>
      <c r="E41" s="387"/>
      <c r="F41" s="387"/>
      <c r="G41" s="53">
        <f>MATRIZ!I171</f>
        <v>373.59</v>
      </c>
      <c r="H41" s="107">
        <f t="shared" si="25"/>
        <v>7.47</v>
      </c>
      <c r="I41" s="107">
        <f t="shared" si="50"/>
        <v>74.709999999999994</v>
      </c>
      <c r="J41" s="107">
        <f t="shared" si="51"/>
        <v>18.670000000000002</v>
      </c>
      <c r="K41" s="107">
        <f t="shared" si="52"/>
        <v>18.670000000000002</v>
      </c>
      <c r="L41" s="107">
        <f t="shared" si="24"/>
        <v>22.41</v>
      </c>
      <c r="M41" s="107">
        <f t="shared" si="53"/>
        <v>11.2</v>
      </c>
      <c r="N41" s="107">
        <f>MATRIZ!$I$373</f>
        <v>42.28</v>
      </c>
      <c r="O41" s="338">
        <f t="shared" si="54"/>
        <v>569</v>
      </c>
      <c r="P41" s="16" t="s">
        <v>22</v>
      </c>
      <c r="Q41" s="107">
        <f>MATRIZ!$I$382</f>
        <v>2.87</v>
      </c>
      <c r="R41" s="371">
        <f t="shared" si="55"/>
        <v>571.87</v>
      </c>
    </row>
    <row r="42" spans="2:18" s="1" customFormat="1" ht="14.25" x14ac:dyDescent="0.2">
      <c r="B42" s="60" t="s">
        <v>122</v>
      </c>
      <c r="C42" s="387"/>
      <c r="D42" s="387"/>
      <c r="E42" s="387"/>
      <c r="F42" s="387"/>
      <c r="G42" s="57" t="str">
        <f>MATRIZ!I172</f>
        <v>ver item 1</v>
      </c>
      <c r="H42" s="107"/>
      <c r="I42" s="107"/>
      <c r="J42" s="107"/>
      <c r="K42" s="107"/>
      <c r="L42" s="107"/>
      <c r="M42" s="107"/>
      <c r="N42" s="115"/>
      <c r="O42" s="115"/>
      <c r="P42" s="16" t="s">
        <v>22</v>
      </c>
      <c r="Q42" s="107"/>
      <c r="R42" s="371"/>
    </row>
    <row r="43" spans="2:18" s="1" customFormat="1" ht="14.25" x14ac:dyDescent="0.2">
      <c r="B43" s="60" t="s">
        <v>123</v>
      </c>
      <c r="C43" s="387"/>
      <c r="D43" s="387"/>
      <c r="E43" s="387"/>
      <c r="F43" s="387"/>
      <c r="G43" s="53">
        <f>MATRIZ!I173</f>
        <v>154.69</v>
      </c>
      <c r="H43" s="107">
        <f t="shared" si="25"/>
        <v>3.09</v>
      </c>
      <c r="I43" s="107">
        <f t="shared" ref="I43:I44" si="56">TRUNC(G43*20%,2)</f>
        <v>30.93</v>
      </c>
      <c r="J43" s="107">
        <f t="shared" ref="J43:J44" si="57">TRUNC(G43*5%,2)</f>
        <v>7.73</v>
      </c>
      <c r="K43" s="107">
        <f t="shared" ref="K43:K44" si="58">TRUNC(G43*5%,2)</f>
        <v>7.73</v>
      </c>
      <c r="L43" s="107">
        <f t="shared" si="24"/>
        <v>9.2799999999999994</v>
      </c>
      <c r="M43" s="107">
        <f t="shared" ref="M43:M44" si="59">TRUNC(G43*3%,2)</f>
        <v>4.6399999999999997</v>
      </c>
      <c r="N43" s="107">
        <f>MATRIZ!$I$373</f>
        <v>42.28</v>
      </c>
      <c r="O43" s="338">
        <f t="shared" ref="O43:O44" si="60">SUM(G43:N43)</f>
        <v>260.37</v>
      </c>
      <c r="P43" s="16" t="s">
        <v>22</v>
      </c>
      <c r="Q43" s="107">
        <f>MATRIZ!$I$382</f>
        <v>2.87</v>
      </c>
      <c r="R43" s="371">
        <f t="shared" ref="R43:R44" si="61">SUM(O43:Q43)</f>
        <v>263.24</v>
      </c>
    </row>
    <row r="44" spans="2:18" s="1" customFormat="1" ht="17.25" customHeight="1" x14ac:dyDescent="0.2">
      <c r="B44" s="60" t="s">
        <v>124</v>
      </c>
      <c r="C44" s="387"/>
      <c r="D44" s="387"/>
      <c r="E44" s="387"/>
      <c r="F44" s="387"/>
      <c r="G44" s="53">
        <f>MATRIZ!I174</f>
        <v>12.5</v>
      </c>
      <c r="H44" s="107">
        <f t="shared" si="25"/>
        <v>0.25</v>
      </c>
      <c r="I44" s="107">
        <f t="shared" si="56"/>
        <v>2.5</v>
      </c>
      <c r="J44" s="107">
        <f t="shared" si="57"/>
        <v>0.62</v>
      </c>
      <c r="K44" s="107">
        <f t="shared" si="58"/>
        <v>0.62</v>
      </c>
      <c r="L44" s="107">
        <f t="shared" si="24"/>
        <v>0.75</v>
      </c>
      <c r="M44" s="107">
        <f t="shared" si="59"/>
        <v>0.37</v>
      </c>
      <c r="N44" s="16" t="s">
        <v>22</v>
      </c>
      <c r="O44" s="338">
        <f t="shared" si="60"/>
        <v>17.61</v>
      </c>
      <c r="P44" s="16" t="s">
        <v>22</v>
      </c>
      <c r="Q44" s="16" t="s">
        <v>22</v>
      </c>
      <c r="R44" s="371">
        <f t="shared" si="61"/>
        <v>17.61</v>
      </c>
    </row>
    <row r="45" spans="2:18" s="1" customFormat="1" ht="14.25" x14ac:dyDescent="0.2">
      <c r="B45" s="379" t="s">
        <v>125</v>
      </c>
      <c r="C45" s="387"/>
      <c r="D45" s="387"/>
      <c r="E45" s="387"/>
      <c r="F45" s="387"/>
      <c r="G45" s="14" t="s">
        <v>110</v>
      </c>
      <c r="H45" s="16" t="s">
        <v>22</v>
      </c>
      <c r="I45" s="16" t="s">
        <v>22</v>
      </c>
      <c r="J45" s="16" t="s">
        <v>22</v>
      </c>
      <c r="K45" s="16" t="s">
        <v>22</v>
      </c>
      <c r="L45" s="107"/>
      <c r="M45" s="16" t="s">
        <v>22</v>
      </c>
      <c r="N45" s="16" t="s">
        <v>22</v>
      </c>
      <c r="O45" s="16" t="s">
        <v>22</v>
      </c>
      <c r="P45" s="16" t="s">
        <v>22</v>
      </c>
      <c r="Q45" s="494" t="s">
        <v>22</v>
      </c>
      <c r="R45" s="421" t="s">
        <v>22</v>
      </c>
    </row>
    <row r="46" spans="2:18" s="1" customFormat="1" ht="14.25" x14ac:dyDescent="0.2">
      <c r="B46" s="60" t="s">
        <v>126</v>
      </c>
      <c r="C46" s="387"/>
      <c r="D46" s="387"/>
      <c r="E46" s="387"/>
      <c r="F46" s="387"/>
      <c r="G46" s="53">
        <f>MATRIZ!I176</f>
        <v>10.79</v>
      </c>
      <c r="H46" s="107">
        <f t="shared" si="25"/>
        <v>0.21</v>
      </c>
      <c r="I46" s="107">
        <f t="shared" ref="I46:I49" si="62">TRUNC(G46*20%,2)</f>
        <v>2.15</v>
      </c>
      <c r="J46" s="107">
        <f t="shared" ref="J46:J49" si="63">TRUNC(G46*5%,2)</f>
        <v>0.53</v>
      </c>
      <c r="K46" s="107">
        <f t="shared" ref="K46:K49" si="64">TRUNC(G46*5%,2)</f>
        <v>0.53</v>
      </c>
      <c r="L46" s="107">
        <f t="shared" si="24"/>
        <v>0.64</v>
      </c>
      <c r="M46" s="107">
        <f t="shared" ref="M46:M49" si="65">TRUNC(G46*3%,2)</f>
        <v>0.32</v>
      </c>
      <c r="N46" s="16" t="s">
        <v>22</v>
      </c>
      <c r="O46" s="338">
        <f t="shared" ref="O46:O49" si="66">SUM(G46:N46)</f>
        <v>15.17</v>
      </c>
      <c r="P46" s="16" t="s">
        <v>22</v>
      </c>
      <c r="Q46" s="16">
        <f>MATRIZ!$I$382</f>
        <v>2.87</v>
      </c>
      <c r="R46" s="371">
        <f t="shared" ref="R46:R49" si="67">SUM(O46:Q46)</f>
        <v>18.04</v>
      </c>
    </row>
    <row r="47" spans="2:18" s="1" customFormat="1" ht="14.25" x14ac:dyDescent="0.2">
      <c r="B47" s="60" t="s">
        <v>127</v>
      </c>
      <c r="C47" s="387"/>
      <c r="D47" s="387"/>
      <c r="E47" s="387"/>
      <c r="F47" s="387"/>
      <c r="G47" s="53">
        <f>MATRIZ!I177</f>
        <v>8.32</v>
      </c>
      <c r="H47" s="107">
        <f t="shared" si="25"/>
        <v>0.16</v>
      </c>
      <c r="I47" s="107">
        <f t="shared" si="62"/>
        <v>1.66</v>
      </c>
      <c r="J47" s="107">
        <f t="shared" si="63"/>
        <v>0.41</v>
      </c>
      <c r="K47" s="107">
        <f t="shared" si="64"/>
        <v>0.41</v>
      </c>
      <c r="L47" s="107">
        <f t="shared" si="24"/>
        <v>0.49</v>
      </c>
      <c r="M47" s="107">
        <f t="shared" si="65"/>
        <v>0.24</v>
      </c>
      <c r="N47" s="16" t="s">
        <v>22</v>
      </c>
      <c r="O47" s="338">
        <f t="shared" si="66"/>
        <v>11.690000000000001</v>
      </c>
      <c r="P47" s="16" t="s">
        <v>22</v>
      </c>
      <c r="Q47" s="16">
        <f>MATRIZ!$I$382</f>
        <v>2.87</v>
      </c>
      <c r="R47" s="371">
        <f t="shared" si="67"/>
        <v>14.560000000000002</v>
      </c>
    </row>
    <row r="48" spans="2:18" s="1" customFormat="1" ht="17.25" customHeight="1" x14ac:dyDescent="0.2">
      <c r="B48" s="60" t="s">
        <v>128</v>
      </c>
      <c r="C48" s="387"/>
      <c r="D48" s="387"/>
      <c r="E48" s="387"/>
      <c r="F48" s="387"/>
      <c r="G48" s="53">
        <f>MATRIZ!I178</f>
        <v>30.94</v>
      </c>
      <c r="H48" s="107">
        <f t="shared" si="25"/>
        <v>0.61</v>
      </c>
      <c r="I48" s="107">
        <f t="shared" si="62"/>
        <v>6.18</v>
      </c>
      <c r="J48" s="107">
        <f t="shared" si="63"/>
        <v>1.54</v>
      </c>
      <c r="K48" s="107">
        <f t="shared" si="64"/>
        <v>1.54</v>
      </c>
      <c r="L48" s="107">
        <f t="shared" si="24"/>
        <v>1.85</v>
      </c>
      <c r="M48" s="107">
        <f t="shared" si="65"/>
        <v>0.92</v>
      </c>
      <c r="N48" s="16" t="s">
        <v>22</v>
      </c>
      <c r="O48" s="338">
        <f t="shared" si="66"/>
        <v>43.580000000000005</v>
      </c>
      <c r="P48" s="16" t="s">
        <v>22</v>
      </c>
      <c r="Q48" s="16">
        <f>MATRIZ!$I$382</f>
        <v>2.87</v>
      </c>
      <c r="R48" s="371">
        <f t="shared" si="67"/>
        <v>46.45</v>
      </c>
    </row>
    <row r="49" spans="2:18" s="2" customFormat="1" ht="17.25" customHeight="1" thickBot="1" x14ac:dyDescent="0.3">
      <c r="B49" s="400" t="s">
        <v>129</v>
      </c>
      <c r="C49" s="389"/>
      <c r="D49" s="389"/>
      <c r="E49" s="389"/>
      <c r="F49" s="389"/>
      <c r="G49" s="390">
        <f>MATRIZ!I179</f>
        <v>8.58</v>
      </c>
      <c r="H49" s="71">
        <f t="shared" si="25"/>
        <v>0.17</v>
      </c>
      <c r="I49" s="71">
        <f t="shared" si="62"/>
        <v>1.71</v>
      </c>
      <c r="J49" s="71">
        <f t="shared" si="63"/>
        <v>0.42</v>
      </c>
      <c r="K49" s="71">
        <f t="shared" si="64"/>
        <v>0.42</v>
      </c>
      <c r="L49" s="71">
        <f t="shared" si="24"/>
        <v>0.51</v>
      </c>
      <c r="M49" s="71">
        <f t="shared" si="65"/>
        <v>0.25</v>
      </c>
      <c r="N49" s="391" t="s">
        <v>22</v>
      </c>
      <c r="O49" s="422">
        <f t="shared" si="66"/>
        <v>12.06</v>
      </c>
      <c r="P49" s="391" t="s">
        <v>22</v>
      </c>
      <c r="Q49" s="481">
        <f>MATRIZ!$I$382</f>
        <v>2.87</v>
      </c>
      <c r="R49" s="392">
        <f t="shared" si="67"/>
        <v>14.93</v>
      </c>
    </row>
    <row r="50" spans="2:18" s="2" customFormat="1" ht="9" customHeight="1" thickBot="1" x14ac:dyDescent="0.3">
      <c r="B50" s="64"/>
      <c r="C50" s="380"/>
      <c r="D50" s="380"/>
      <c r="E50" s="380"/>
      <c r="F50" s="380"/>
      <c r="G50" s="381"/>
      <c r="H50" s="107"/>
      <c r="I50" s="107"/>
      <c r="J50" s="107"/>
      <c r="K50" s="107"/>
      <c r="L50" s="107"/>
      <c r="M50" s="107"/>
      <c r="N50" s="61"/>
      <c r="O50" s="54"/>
      <c r="P50" s="16"/>
      <c r="Q50" s="107"/>
      <c r="R50" s="371"/>
    </row>
    <row r="51" spans="2:18" s="1" customFormat="1" ht="15.75" customHeight="1" x14ac:dyDescent="0.2">
      <c r="B51" s="835" t="s">
        <v>493</v>
      </c>
      <c r="C51" s="836"/>
      <c r="D51" s="836"/>
      <c r="E51" s="836"/>
      <c r="F51" s="836"/>
      <c r="G51" s="839" t="s">
        <v>45</v>
      </c>
      <c r="H51" s="75">
        <v>0.02</v>
      </c>
      <c r="I51" s="75">
        <v>0.2</v>
      </c>
      <c r="J51" s="75">
        <v>0.05</v>
      </c>
      <c r="K51" s="75">
        <v>0.05</v>
      </c>
      <c r="L51" s="75">
        <v>0.06</v>
      </c>
      <c r="M51" s="841" t="s">
        <v>5</v>
      </c>
      <c r="N51" s="827" t="s">
        <v>55</v>
      </c>
      <c r="O51" s="827" t="s">
        <v>487</v>
      </c>
      <c r="P51" s="829" t="s">
        <v>106</v>
      </c>
      <c r="Q51" s="829" t="s">
        <v>6</v>
      </c>
      <c r="R51" s="831" t="s">
        <v>37</v>
      </c>
    </row>
    <row r="52" spans="2:18" s="1" customFormat="1" ht="17.25" customHeight="1" x14ac:dyDescent="0.2">
      <c r="B52" s="837"/>
      <c r="C52" s="838"/>
      <c r="D52" s="838"/>
      <c r="E52" s="838"/>
      <c r="F52" s="838"/>
      <c r="G52" s="840"/>
      <c r="H52" s="50" t="s">
        <v>107</v>
      </c>
      <c r="I52" s="325" t="s">
        <v>108</v>
      </c>
      <c r="J52" s="50" t="s">
        <v>109</v>
      </c>
      <c r="K52" s="50" t="s">
        <v>43</v>
      </c>
      <c r="L52" s="50" t="s">
        <v>44</v>
      </c>
      <c r="M52" s="842"/>
      <c r="N52" s="828"/>
      <c r="O52" s="828"/>
      <c r="P52" s="830"/>
      <c r="Q52" s="830"/>
      <c r="R52" s="832"/>
    </row>
    <row r="53" spans="2:18" s="1" customFormat="1" ht="14.25" x14ac:dyDescent="0.2">
      <c r="B53" s="402" t="s">
        <v>131</v>
      </c>
      <c r="C53" s="387"/>
      <c r="D53" s="387"/>
      <c r="E53" s="387"/>
      <c r="F53" s="387"/>
      <c r="G53" s="14" t="s">
        <v>110</v>
      </c>
      <c r="H53" s="107"/>
      <c r="I53" s="107"/>
      <c r="J53" s="107"/>
      <c r="K53" s="107"/>
      <c r="L53" s="107"/>
      <c r="M53" s="107"/>
      <c r="N53" s="115"/>
      <c r="O53" s="115"/>
      <c r="P53" s="107"/>
      <c r="Q53" s="107"/>
      <c r="R53" s="371"/>
    </row>
    <row r="54" spans="2:18" s="1" customFormat="1" ht="14.25" x14ac:dyDescent="0.2">
      <c r="B54" s="60" t="s">
        <v>132</v>
      </c>
      <c r="C54" s="387"/>
      <c r="D54" s="387"/>
      <c r="E54" s="387"/>
      <c r="F54" s="387"/>
      <c r="G54" s="53">
        <f>MATRIZ!I182</f>
        <v>414.33</v>
      </c>
      <c r="H54" s="107">
        <f t="shared" ref="H54:H55" si="68">TRUNC(G54*2%,2)</f>
        <v>8.2799999999999994</v>
      </c>
      <c r="I54" s="107">
        <f t="shared" ref="I54:I55" si="69">TRUNC(G54*20%,2)</f>
        <v>82.86</v>
      </c>
      <c r="J54" s="107">
        <f t="shared" ref="J54:J55" si="70">TRUNC(G54*5%,2)</f>
        <v>20.71</v>
      </c>
      <c r="K54" s="107">
        <f t="shared" ref="K54:K55" si="71">TRUNC(G54*5%,2)</f>
        <v>20.71</v>
      </c>
      <c r="L54" s="107">
        <f>TRUNC(G54*6%,2)</f>
        <v>24.85</v>
      </c>
      <c r="M54" s="107">
        <f t="shared" ref="M54:M55" si="72">TRUNC(G54*3%,2)</f>
        <v>12.42</v>
      </c>
      <c r="N54" s="107">
        <f>MATRIZ!$I$373</f>
        <v>42.28</v>
      </c>
      <c r="O54" s="338">
        <f t="shared" ref="O54:O55" si="73">SUM(G54:N54)</f>
        <v>626.43999999999994</v>
      </c>
      <c r="P54" s="16" t="s">
        <v>22</v>
      </c>
      <c r="Q54" s="107">
        <f>MATRIZ!$I$382</f>
        <v>2.87</v>
      </c>
      <c r="R54" s="371">
        <f t="shared" ref="R54:R55" si="74">SUM(O54:Q54)</f>
        <v>629.30999999999995</v>
      </c>
    </row>
    <row r="55" spans="2:18" s="1" customFormat="1" ht="14.25" x14ac:dyDescent="0.2">
      <c r="B55" s="60" t="s">
        <v>133</v>
      </c>
      <c r="C55" s="387"/>
      <c r="D55" s="387"/>
      <c r="E55" s="387"/>
      <c r="F55" s="387"/>
      <c r="G55" s="53">
        <f>MATRIZ!I183</f>
        <v>606.4</v>
      </c>
      <c r="H55" s="107">
        <f t="shared" si="68"/>
        <v>12.12</v>
      </c>
      <c r="I55" s="107">
        <f t="shared" si="69"/>
        <v>121.28</v>
      </c>
      <c r="J55" s="107">
        <f t="shared" si="70"/>
        <v>30.32</v>
      </c>
      <c r="K55" s="107">
        <f t="shared" si="71"/>
        <v>30.32</v>
      </c>
      <c r="L55" s="107">
        <f t="shared" ref="L55:L86" si="75">TRUNC(G55*6%,2)</f>
        <v>36.380000000000003</v>
      </c>
      <c r="M55" s="107">
        <f t="shared" si="72"/>
        <v>18.190000000000001</v>
      </c>
      <c r="N55" s="107">
        <f>MATRIZ!$I$373</f>
        <v>42.28</v>
      </c>
      <c r="O55" s="338">
        <f t="shared" si="73"/>
        <v>897.29000000000008</v>
      </c>
      <c r="P55" s="16" t="s">
        <v>22</v>
      </c>
      <c r="Q55" s="107">
        <f>MATRIZ!$I$382</f>
        <v>2.87</v>
      </c>
      <c r="R55" s="371">
        <f t="shared" si="74"/>
        <v>900.16000000000008</v>
      </c>
    </row>
    <row r="56" spans="2:18" s="1" customFormat="1" ht="14.25" x14ac:dyDescent="0.2">
      <c r="B56" s="402" t="s">
        <v>134</v>
      </c>
      <c r="C56" s="329" t="s">
        <v>135</v>
      </c>
      <c r="D56" s="387"/>
      <c r="E56" s="387"/>
      <c r="F56" s="387"/>
      <c r="G56" s="57" t="str">
        <f>MATRIZ!I184</f>
        <v>ver item 1</v>
      </c>
      <c r="H56" s="16" t="s">
        <v>22</v>
      </c>
      <c r="I56" s="16" t="s">
        <v>22</v>
      </c>
      <c r="J56" s="16" t="s">
        <v>22</v>
      </c>
      <c r="K56" s="16" t="s">
        <v>22</v>
      </c>
      <c r="L56" s="16" t="s">
        <v>22</v>
      </c>
      <c r="M56" s="16" t="s">
        <v>22</v>
      </c>
      <c r="N56" s="16" t="s">
        <v>22</v>
      </c>
      <c r="O56" s="16" t="s">
        <v>22</v>
      </c>
      <c r="P56" s="16" t="s">
        <v>22</v>
      </c>
      <c r="Q56" s="16" t="s">
        <v>22</v>
      </c>
      <c r="R56" s="371">
        <f t="shared" ref="R56" si="76">SUM(O56:Q56)</f>
        <v>0</v>
      </c>
    </row>
    <row r="57" spans="2:18" s="1" customFormat="1" ht="14.25" x14ac:dyDescent="0.2">
      <c r="B57" s="60" t="s">
        <v>136</v>
      </c>
      <c r="C57" s="387"/>
      <c r="D57" s="387"/>
      <c r="E57" s="387"/>
      <c r="F57" s="277"/>
      <c r="G57" s="53">
        <f>MATRIZ!I185</f>
        <v>202.02</v>
      </c>
      <c r="H57" s="107">
        <f t="shared" ref="H57:H60" si="77">TRUNC(G57*2%,2)</f>
        <v>4.04</v>
      </c>
      <c r="I57" s="107">
        <f t="shared" ref="I57" si="78">TRUNC(G57*20%,2)</f>
        <v>40.4</v>
      </c>
      <c r="J57" s="107">
        <f t="shared" ref="J57" si="79">TRUNC(G57*5%,2)</f>
        <v>10.1</v>
      </c>
      <c r="K57" s="107">
        <f t="shared" ref="K57" si="80">TRUNC(G57*5%,2)</f>
        <v>10.1</v>
      </c>
      <c r="L57" s="107">
        <f t="shared" si="75"/>
        <v>12.12</v>
      </c>
      <c r="M57" s="107">
        <f t="shared" ref="M57" si="81">TRUNC(G57*3%,2)</f>
        <v>6.06</v>
      </c>
      <c r="N57" s="107">
        <f>MATRIZ!$I$373</f>
        <v>42.28</v>
      </c>
      <c r="O57" s="338">
        <f t="shared" ref="O57" si="82">SUM(G57:N57)</f>
        <v>327.12</v>
      </c>
      <c r="P57" s="16" t="s">
        <v>22</v>
      </c>
      <c r="Q57" s="107">
        <f>MATRIZ!$I$382</f>
        <v>2.87</v>
      </c>
      <c r="R57" s="371">
        <f t="shared" ref="R57" si="83">SUM(O57:Q57)</f>
        <v>329.99</v>
      </c>
    </row>
    <row r="58" spans="2:18" s="1" customFormat="1" ht="14.25" x14ac:dyDescent="0.2">
      <c r="B58" s="60" t="s">
        <v>137</v>
      </c>
      <c r="C58" s="387"/>
      <c r="D58" s="387"/>
      <c r="E58" s="387"/>
      <c r="F58" s="277"/>
      <c r="G58" s="53">
        <f>MATRIZ!I186</f>
        <v>606.4</v>
      </c>
      <c r="H58" s="107">
        <f t="shared" si="77"/>
        <v>12.12</v>
      </c>
      <c r="I58" s="107">
        <f t="shared" ref="I58:I60" si="84">TRUNC(G58*20%,2)</f>
        <v>121.28</v>
      </c>
      <c r="J58" s="107">
        <f t="shared" ref="J58:J60" si="85">TRUNC(G58*5%,2)</f>
        <v>30.32</v>
      </c>
      <c r="K58" s="107">
        <f t="shared" ref="K58:K60" si="86">TRUNC(G58*5%,2)</f>
        <v>30.32</v>
      </c>
      <c r="L58" s="107">
        <f t="shared" si="75"/>
        <v>36.380000000000003</v>
      </c>
      <c r="M58" s="107">
        <f t="shared" ref="M58:M60" si="87">TRUNC(G58*3%,2)</f>
        <v>18.190000000000001</v>
      </c>
      <c r="N58" s="107">
        <f>MATRIZ!$I$373</f>
        <v>42.28</v>
      </c>
      <c r="O58" s="338">
        <f t="shared" ref="O58:O60" si="88">SUM(G58:N58)</f>
        <v>897.29000000000008</v>
      </c>
      <c r="P58" s="16" t="s">
        <v>22</v>
      </c>
      <c r="Q58" s="107">
        <f>MATRIZ!$I$382</f>
        <v>2.87</v>
      </c>
      <c r="R58" s="371">
        <f t="shared" ref="R58:R60" si="89">SUM(O58:Q58)</f>
        <v>900.16000000000008</v>
      </c>
    </row>
    <row r="59" spans="2:18" s="1" customFormat="1" ht="14.25" x14ac:dyDescent="0.2">
      <c r="B59" s="65" t="s">
        <v>138</v>
      </c>
      <c r="C59" s="387"/>
      <c r="D59" s="387"/>
      <c r="E59" s="387"/>
      <c r="F59" s="277"/>
      <c r="G59" s="53">
        <f>MATRIZ!I187</f>
        <v>338.33</v>
      </c>
      <c r="H59" s="107">
        <f t="shared" si="77"/>
        <v>6.76</v>
      </c>
      <c r="I59" s="107">
        <f t="shared" si="84"/>
        <v>67.66</v>
      </c>
      <c r="J59" s="107">
        <f t="shared" si="85"/>
        <v>16.91</v>
      </c>
      <c r="K59" s="107">
        <f t="shared" si="86"/>
        <v>16.91</v>
      </c>
      <c r="L59" s="107">
        <f t="shared" si="75"/>
        <v>20.29</v>
      </c>
      <c r="M59" s="107">
        <f t="shared" si="87"/>
        <v>10.14</v>
      </c>
      <c r="N59" s="107">
        <f>MATRIZ!$I$373</f>
        <v>42.28</v>
      </c>
      <c r="O59" s="338">
        <f t="shared" si="88"/>
        <v>519.28000000000009</v>
      </c>
      <c r="P59" s="16" t="s">
        <v>22</v>
      </c>
      <c r="Q59" s="107">
        <f>MATRIZ!$I$382</f>
        <v>2.87</v>
      </c>
      <c r="R59" s="371">
        <f t="shared" si="89"/>
        <v>522.15000000000009</v>
      </c>
    </row>
    <row r="60" spans="2:18" s="1" customFormat="1" ht="14.25" x14ac:dyDescent="0.2">
      <c r="B60" s="60" t="s">
        <v>139</v>
      </c>
      <c r="C60" s="387"/>
      <c r="D60" s="387"/>
      <c r="E60" s="387"/>
      <c r="F60" s="277"/>
      <c r="G60" s="53">
        <f>MATRIZ!I188</f>
        <v>169.3</v>
      </c>
      <c r="H60" s="107">
        <f t="shared" si="77"/>
        <v>3.38</v>
      </c>
      <c r="I60" s="107">
        <f t="shared" si="84"/>
        <v>33.86</v>
      </c>
      <c r="J60" s="107">
        <f t="shared" si="85"/>
        <v>8.4600000000000009</v>
      </c>
      <c r="K60" s="107">
        <f t="shared" si="86"/>
        <v>8.4600000000000009</v>
      </c>
      <c r="L60" s="107">
        <f t="shared" si="75"/>
        <v>10.15</v>
      </c>
      <c r="M60" s="107">
        <f t="shared" si="87"/>
        <v>5.07</v>
      </c>
      <c r="N60" s="16" t="s">
        <v>22</v>
      </c>
      <c r="O60" s="338">
        <f t="shared" si="88"/>
        <v>238.68000000000004</v>
      </c>
      <c r="P60" s="16" t="s">
        <v>22</v>
      </c>
      <c r="Q60" s="16" t="s">
        <v>22</v>
      </c>
      <c r="R60" s="371">
        <f t="shared" si="89"/>
        <v>238.68000000000004</v>
      </c>
    </row>
    <row r="61" spans="2:18" s="1" customFormat="1" ht="19.5" customHeight="1" x14ac:dyDescent="0.2">
      <c r="B61" s="65" t="s">
        <v>140</v>
      </c>
      <c r="C61" s="387"/>
      <c r="D61" s="387"/>
      <c r="E61" s="387"/>
      <c r="F61" s="277"/>
      <c r="G61" s="14" t="s">
        <v>110</v>
      </c>
      <c r="H61" s="107"/>
      <c r="I61" s="107"/>
      <c r="J61" s="107"/>
      <c r="K61" s="107"/>
      <c r="L61" s="107"/>
      <c r="M61" s="107"/>
      <c r="N61" s="115"/>
      <c r="O61" s="115"/>
      <c r="P61" s="16" t="s">
        <v>22</v>
      </c>
      <c r="Q61" s="107"/>
      <c r="R61" s="371"/>
    </row>
    <row r="62" spans="2:18" s="1" customFormat="1" ht="12.75" x14ac:dyDescent="0.2">
      <c r="B62" s="51" t="s">
        <v>49</v>
      </c>
      <c r="C62" s="383"/>
      <c r="D62" s="384"/>
      <c r="E62" s="383" t="s">
        <v>50</v>
      </c>
      <c r="G62" s="14" t="s">
        <v>110</v>
      </c>
      <c r="H62" s="15"/>
      <c r="I62" s="7"/>
      <c r="J62" s="7"/>
      <c r="K62" s="7"/>
      <c r="L62" s="107"/>
      <c r="M62" s="107"/>
      <c r="N62" s="15"/>
      <c r="O62" s="7"/>
      <c r="P62" s="16" t="s">
        <v>22</v>
      </c>
      <c r="Q62" s="7"/>
      <c r="R62" s="371"/>
    </row>
    <row r="63" spans="2:18" s="1" customFormat="1" ht="12.75" x14ac:dyDescent="0.2">
      <c r="B63" s="52">
        <f>B5</f>
        <v>0.01</v>
      </c>
      <c r="C63" s="312"/>
      <c r="D63" s="384" t="s">
        <v>11</v>
      </c>
      <c r="E63" s="312">
        <f>E5</f>
        <v>18435.099999999999</v>
      </c>
      <c r="G63" s="53">
        <f>MATRIZ!I142</f>
        <v>290.48</v>
      </c>
      <c r="H63" s="107">
        <f t="shared" ref="H63:H82" si="90">TRUNC(G63*2%,2)</f>
        <v>5.8</v>
      </c>
      <c r="I63" s="107">
        <f t="shared" ref="I63" si="91">TRUNC(G63*20%,2)</f>
        <v>58.09</v>
      </c>
      <c r="J63" s="107">
        <f t="shared" ref="J63" si="92">TRUNC(G63*5%,2)</f>
        <v>14.52</v>
      </c>
      <c r="K63" s="107">
        <f t="shared" ref="K63" si="93">TRUNC(G63*5%,2)</f>
        <v>14.52</v>
      </c>
      <c r="L63" s="107">
        <f t="shared" si="75"/>
        <v>17.420000000000002</v>
      </c>
      <c r="M63" s="107">
        <f t="shared" ref="M63" si="94">TRUNC(G63*3%,2)</f>
        <v>8.7100000000000009</v>
      </c>
      <c r="N63" s="107">
        <f>MATRIZ!$I$373</f>
        <v>42.28</v>
      </c>
      <c r="O63" s="338">
        <f t="shared" ref="O63" si="95">SUM(G63:N63)</f>
        <v>451.81999999999994</v>
      </c>
      <c r="P63" s="16" t="s">
        <v>22</v>
      </c>
      <c r="Q63" s="107">
        <f>MATRIZ!$I$382</f>
        <v>2.87</v>
      </c>
      <c r="R63" s="371">
        <f t="shared" ref="R63" si="96">SUM(O63:Q63)</f>
        <v>454.68999999999994</v>
      </c>
    </row>
    <row r="64" spans="2:18" s="1" customFormat="1" ht="12.75" x14ac:dyDescent="0.2">
      <c r="B64" s="52">
        <f t="shared" ref="B64:B70" si="97">B6</f>
        <v>18435.109999999997</v>
      </c>
      <c r="C64" s="312"/>
      <c r="D64" s="384" t="s">
        <v>11</v>
      </c>
      <c r="E64" s="312">
        <f t="shared" ref="E64:E70" si="98">E6</f>
        <v>36870.230000000003</v>
      </c>
      <c r="G64" s="53">
        <f>MATRIZ!I143</f>
        <v>480</v>
      </c>
      <c r="H64" s="107">
        <f t="shared" si="90"/>
        <v>9.6</v>
      </c>
      <c r="I64" s="107">
        <f t="shared" ref="I64:I71" si="99">TRUNC(G64*20%,2)</f>
        <v>96</v>
      </c>
      <c r="J64" s="107">
        <f t="shared" ref="J64:J71" si="100">TRUNC(G64*5%,2)</f>
        <v>24</v>
      </c>
      <c r="K64" s="107">
        <f t="shared" ref="K64:K71" si="101">TRUNC(G64*5%,2)</f>
        <v>24</v>
      </c>
      <c r="L64" s="107">
        <f t="shared" si="75"/>
        <v>28.8</v>
      </c>
      <c r="M64" s="107">
        <f t="shared" ref="M64:M71" si="102">TRUNC(G64*3%,2)</f>
        <v>14.4</v>
      </c>
      <c r="N64" s="107">
        <f>MATRIZ!$I$373</f>
        <v>42.28</v>
      </c>
      <c r="O64" s="338">
        <f t="shared" ref="O64:O71" si="103">SUM(G64:N64)</f>
        <v>719.07999999999993</v>
      </c>
      <c r="P64" s="16" t="s">
        <v>22</v>
      </c>
      <c r="Q64" s="107">
        <f>MATRIZ!$I$382</f>
        <v>2.87</v>
      </c>
      <c r="R64" s="371">
        <f t="shared" ref="R64:R71" si="104">SUM(O64:Q64)</f>
        <v>721.94999999999993</v>
      </c>
    </row>
    <row r="65" spans="1:18" s="1" customFormat="1" ht="12.75" x14ac:dyDescent="0.2">
      <c r="B65" s="52">
        <f t="shared" si="97"/>
        <v>36870.240000000005</v>
      </c>
      <c r="C65" s="312"/>
      <c r="D65" s="384" t="s">
        <v>11</v>
      </c>
      <c r="E65" s="312">
        <f t="shared" si="98"/>
        <v>55305.35</v>
      </c>
      <c r="G65" s="53">
        <f>MATRIZ!I144</f>
        <v>669.56</v>
      </c>
      <c r="H65" s="107">
        <f t="shared" si="90"/>
        <v>13.39</v>
      </c>
      <c r="I65" s="107">
        <f t="shared" si="99"/>
        <v>133.91</v>
      </c>
      <c r="J65" s="107">
        <f t="shared" si="100"/>
        <v>33.47</v>
      </c>
      <c r="K65" s="107">
        <f t="shared" si="101"/>
        <v>33.47</v>
      </c>
      <c r="L65" s="107">
        <f t="shared" si="75"/>
        <v>40.17</v>
      </c>
      <c r="M65" s="107">
        <f t="shared" si="102"/>
        <v>20.079999999999998</v>
      </c>
      <c r="N65" s="107">
        <f>MATRIZ!$I$373</f>
        <v>42.28</v>
      </c>
      <c r="O65" s="338">
        <f t="shared" si="103"/>
        <v>986.32999999999993</v>
      </c>
      <c r="P65" s="16" t="s">
        <v>22</v>
      </c>
      <c r="Q65" s="107">
        <f>MATRIZ!$I$382</f>
        <v>2.87</v>
      </c>
      <c r="R65" s="371">
        <f t="shared" si="104"/>
        <v>989.19999999999993</v>
      </c>
    </row>
    <row r="66" spans="1:18" s="1" customFormat="1" ht="12.75" x14ac:dyDescent="0.2">
      <c r="B66" s="52">
        <f t="shared" si="97"/>
        <v>55305.36</v>
      </c>
      <c r="C66" s="312"/>
      <c r="D66" s="384" t="s">
        <v>11</v>
      </c>
      <c r="E66" s="312">
        <f t="shared" si="98"/>
        <v>73740.490000000005</v>
      </c>
      <c r="G66" s="53">
        <f>MATRIZ!I145</f>
        <v>821.15</v>
      </c>
      <c r="H66" s="107">
        <f t="shared" si="90"/>
        <v>16.420000000000002</v>
      </c>
      <c r="I66" s="107">
        <f t="shared" si="99"/>
        <v>164.23</v>
      </c>
      <c r="J66" s="107">
        <f t="shared" si="100"/>
        <v>41.05</v>
      </c>
      <c r="K66" s="107">
        <f t="shared" si="101"/>
        <v>41.05</v>
      </c>
      <c r="L66" s="107">
        <f t="shared" si="75"/>
        <v>49.26</v>
      </c>
      <c r="M66" s="107">
        <f t="shared" si="102"/>
        <v>24.63</v>
      </c>
      <c r="N66" s="107">
        <f>MATRIZ!$I$373</f>
        <v>42.28</v>
      </c>
      <c r="O66" s="338">
        <f t="shared" si="103"/>
        <v>1200.07</v>
      </c>
      <c r="P66" s="16" t="s">
        <v>22</v>
      </c>
      <c r="Q66" s="107">
        <f>MATRIZ!$I$382</f>
        <v>2.87</v>
      </c>
      <c r="R66" s="371">
        <f t="shared" si="104"/>
        <v>1202.9399999999998</v>
      </c>
    </row>
    <row r="67" spans="1:18" s="1" customFormat="1" ht="12.75" x14ac:dyDescent="0.2">
      <c r="B67" s="52">
        <f t="shared" si="97"/>
        <v>73740.5</v>
      </c>
      <c r="C67" s="312"/>
      <c r="D67" s="384" t="s">
        <v>11</v>
      </c>
      <c r="E67" s="312">
        <f t="shared" si="98"/>
        <v>98320.639999999999</v>
      </c>
      <c r="G67" s="53">
        <f>MATRIZ!I146</f>
        <v>1455.47</v>
      </c>
      <c r="H67" s="107">
        <f t="shared" si="90"/>
        <v>29.1</v>
      </c>
      <c r="I67" s="107">
        <f t="shared" si="99"/>
        <v>291.08999999999997</v>
      </c>
      <c r="J67" s="107">
        <f t="shared" si="100"/>
        <v>72.77</v>
      </c>
      <c r="K67" s="107">
        <f t="shared" si="101"/>
        <v>72.77</v>
      </c>
      <c r="L67" s="107">
        <f t="shared" si="75"/>
        <v>87.32</v>
      </c>
      <c r="M67" s="107">
        <f t="shared" si="102"/>
        <v>43.66</v>
      </c>
      <c r="N67" s="107">
        <f>MATRIZ!$I$373</f>
        <v>42.28</v>
      </c>
      <c r="O67" s="338">
        <f t="shared" si="103"/>
        <v>2094.46</v>
      </c>
      <c r="P67" s="16" t="s">
        <v>22</v>
      </c>
      <c r="Q67" s="107">
        <f>MATRIZ!$I$382</f>
        <v>2.87</v>
      </c>
      <c r="R67" s="371">
        <f t="shared" si="104"/>
        <v>2097.33</v>
      </c>
    </row>
    <row r="68" spans="1:18" s="1" customFormat="1" ht="12.75" x14ac:dyDescent="0.2">
      <c r="B68" s="52">
        <f t="shared" si="97"/>
        <v>98320.65</v>
      </c>
      <c r="C68" s="312"/>
      <c r="D68" s="384" t="s">
        <v>11</v>
      </c>
      <c r="E68" s="312">
        <f t="shared" si="98"/>
        <v>122900.81</v>
      </c>
      <c r="G68" s="53">
        <f>MATRIZ!I147</f>
        <v>1718.27</v>
      </c>
      <c r="H68" s="107">
        <f t="shared" si="90"/>
        <v>34.36</v>
      </c>
      <c r="I68" s="107">
        <f t="shared" si="99"/>
        <v>343.65</v>
      </c>
      <c r="J68" s="107">
        <f t="shared" si="100"/>
        <v>85.91</v>
      </c>
      <c r="K68" s="107">
        <f t="shared" si="101"/>
        <v>85.91</v>
      </c>
      <c r="L68" s="107">
        <f t="shared" si="75"/>
        <v>103.09</v>
      </c>
      <c r="M68" s="107">
        <f t="shared" si="102"/>
        <v>51.54</v>
      </c>
      <c r="N68" s="107">
        <f>MATRIZ!$I$373</f>
        <v>42.28</v>
      </c>
      <c r="O68" s="338">
        <f t="shared" si="103"/>
        <v>2465.0099999999998</v>
      </c>
      <c r="P68" s="16" t="s">
        <v>22</v>
      </c>
      <c r="Q68" s="107">
        <f>MATRIZ!$I$382</f>
        <v>2.87</v>
      </c>
      <c r="R68" s="371">
        <f t="shared" si="104"/>
        <v>2467.8799999999997</v>
      </c>
    </row>
    <row r="69" spans="1:18" s="1" customFormat="1" ht="12.75" x14ac:dyDescent="0.2">
      <c r="B69" s="52">
        <f t="shared" si="97"/>
        <v>122900.81999999999</v>
      </c>
      <c r="C69" s="312"/>
      <c r="D69" s="384" t="s">
        <v>11</v>
      </c>
      <c r="E69" s="312">
        <f t="shared" si="98"/>
        <v>245801.64</v>
      </c>
      <c r="G69" s="53">
        <f>MATRIZ!I148</f>
        <v>2324.7199999999998</v>
      </c>
      <c r="H69" s="107">
        <f t="shared" si="90"/>
        <v>46.49</v>
      </c>
      <c r="I69" s="107">
        <f t="shared" si="99"/>
        <v>464.94</v>
      </c>
      <c r="J69" s="107">
        <f t="shared" si="100"/>
        <v>116.23</v>
      </c>
      <c r="K69" s="107">
        <f t="shared" si="101"/>
        <v>116.23</v>
      </c>
      <c r="L69" s="107">
        <f t="shared" si="75"/>
        <v>139.47999999999999</v>
      </c>
      <c r="M69" s="107">
        <f t="shared" si="102"/>
        <v>69.739999999999995</v>
      </c>
      <c r="N69" s="107">
        <f>MATRIZ!$I$373</f>
        <v>42.28</v>
      </c>
      <c r="O69" s="338">
        <f t="shared" si="103"/>
        <v>3320.1099999999997</v>
      </c>
      <c r="P69" s="16" t="s">
        <v>22</v>
      </c>
      <c r="Q69" s="107">
        <f>MATRIZ!$I$382</f>
        <v>2.87</v>
      </c>
      <c r="R69" s="371">
        <f t="shared" si="104"/>
        <v>3322.9799999999996</v>
      </c>
    </row>
    <row r="70" spans="1:18" s="1" customFormat="1" ht="18" customHeight="1" x14ac:dyDescent="0.2">
      <c r="B70" s="52">
        <f t="shared" si="97"/>
        <v>245801.65000000002</v>
      </c>
      <c r="C70" s="312"/>
      <c r="D70" s="384" t="s">
        <v>11</v>
      </c>
      <c r="E70" s="312">
        <f t="shared" si="98"/>
        <v>491603.3</v>
      </c>
      <c r="G70" s="53">
        <f>MATRIZ!I149</f>
        <v>2494.48</v>
      </c>
      <c r="H70" s="107">
        <f t="shared" si="90"/>
        <v>49.88</v>
      </c>
      <c r="I70" s="107">
        <f t="shared" si="99"/>
        <v>498.89</v>
      </c>
      <c r="J70" s="107">
        <f t="shared" si="100"/>
        <v>124.72</v>
      </c>
      <c r="K70" s="107">
        <f t="shared" si="101"/>
        <v>124.72</v>
      </c>
      <c r="L70" s="107">
        <f t="shared" si="75"/>
        <v>149.66</v>
      </c>
      <c r="M70" s="107">
        <f t="shared" si="102"/>
        <v>74.83</v>
      </c>
      <c r="N70" s="107">
        <f>MATRIZ!$I$373</f>
        <v>42.28</v>
      </c>
      <c r="O70" s="338">
        <f t="shared" si="103"/>
        <v>3559.4599999999996</v>
      </c>
      <c r="P70" s="16" t="s">
        <v>22</v>
      </c>
      <c r="Q70" s="107">
        <f>MATRIZ!$I$382</f>
        <v>2.87</v>
      </c>
      <c r="R70" s="371">
        <f t="shared" si="104"/>
        <v>3562.3299999999995</v>
      </c>
    </row>
    <row r="71" spans="1:18" s="1" customFormat="1" ht="30" customHeight="1" x14ac:dyDescent="0.2">
      <c r="B71" s="794" t="s">
        <v>640</v>
      </c>
      <c r="C71" s="769"/>
      <c r="D71" s="769"/>
      <c r="E71" s="769"/>
      <c r="F71" s="769"/>
      <c r="G71" s="53">
        <f>MATRIZ!I150</f>
        <v>220.93</v>
      </c>
      <c r="H71" s="107">
        <f t="shared" si="90"/>
        <v>4.41</v>
      </c>
      <c r="I71" s="107">
        <f t="shared" si="99"/>
        <v>44.18</v>
      </c>
      <c r="J71" s="107">
        <f t="shared" si="100"/>
        <v>11.04</v>
      </c>
      <c r="K71" s="107">
        <f t="shared" si="101"/>
        <v>11.04</v>
      </c>
      <c r="L71" s="107">
        <f t="shared" si="75"/>
        <v>13.25</v>
      </c>
      <c r="M71" s="107">
        <f t="shared" si="102"/>
        <v>6.62</v>
      </c>
      <c r="N71" s="16" t="s">
        <v>22</v>
      </c>
      <c r="O71" s="338">
        <f t="shared" si="103"/>
        <v>311.47000000000003</v>
      </c>
      <c r="P71" s="16" t="s">
        <v>22</v>
      </c>
      <c r="Q71" s="16" t="s">
        <v>22</v>
      </c>
      <c r="R71" s="371">
        <f t="shared" si="104"/>
        <v>311.47000000000003</v>
      </c>
    </row>
    <row r="72" spans="1:18" s="1" customFormat="1" ht="18" customHeight="1" x14ac:dyDescent="0.2">
      <c r="A72" s="63"/>
      <c r="B72" s="403" t="s">
        <v>141</v>
      </c>
      <c r="C72" s="64"/>
      <c r="D72" s="64"/>
      <c r="E72" s="393"/>
      <c r="F72" s="394"/>
      <c r="G72" s="14" t="s">
        <v>110</v>
      </c>
      <c r="H72" s="107"/>
      <c r="I72" s="107"/>
      <c r="J72" s="107"/>
      <c r="K72" s="107"/>
      <c r="L72" s="107"/>
      <c r="M72" s="107"/>
      <c r="N72" s="107"/>
      <c r="O72" s="107"/>
      <c r="P72" s="16" t="s">
        <v>22</v>
      </c>
      <c r="Q72" s="107"/>
      <c r="R72" s="371"/>
    </row>
    <row r="73" spans="1:18" s="1" customFormat="1" ht="15" customHeight="1" x14ac:dyDescent="0.2">
      <c r="A73" s="63"/>
      <c r="B73" s="767" t="s">
        <v>142</v>
      </c>
      <c r="C73" s="768"/>
      <c r="D73" s="768"/>
      <c r="E73" s="312"/>
      <c r="F73" s="395"/>
      <c r="G73" s="53">
        <f>MATRIZ!I191</f>
        <v>257.33</v>
      </c>
      <c r="H73" s="107">
        <f t="shared" si="90"/>
        <v>5.14</v>
      </c>
      <c r="I73" s="107">
        <f t="shared" ref="I73:I74" si="105">TRUNC(G73*20%,2)</f>
        <v>51.46</v>
      </c>
      <c r="J73" s="107">
        <f t="shared" ref="J73:J74" si="106">TRUNC(G73*5%,2)</f>
        <v>12.86</v>
      </c>
      <c r="K73" s="107">
        <f t="shared" ref="K73:K74" si="107">TRUNC(G73*5%,2)</f>
        <v>12.86</v>
      </c>
      <c r="L73" s="107">
        <f t="shared" si="75"/>
        <v>15.43</v>
      </c>
      <c r="M73" s="107">
        <f t="shared" ref="M73:M74" si="108">TRUNC(G73*3%,2)</f>
        <v>7.71</v>
      </c>
      <c r="N73" s="107">
        <f>MATRIZ!$I$373</f>
        <v>42.28</v>
      </c>
      <c r="O73" s="338">
        <f t="shared" ref="O73:O74" si="109">SUM(G73:N73)</f>
        <v>405.06999999999994</v>
      </c>
      <c r="P73" s="16" t="s">
        <v>22</v>
      </c>
      <c r="Q73" s="107">
        <f>MATRIZ!$I$382</f>
        <v>2.87</v>
      </c>
      <c r="R73" s="371">
        <f t="shared" ref="R73:R74" si="110">SUM(O73:Q73)</f>
        <v>407.93999999999994</v>
      </c>
    </row>
    <row r="74" spans="1:18" s="1" customFormat="1" ht="15" customHeight="1" x14ac:dyDescent="0.2">
      <c r="B74" s="767" t="s">
        <v>143</v>
      </c>
      <c r="C74" s="768"/>
      <c r="D74" s="768"/>
      <c r="E74" s="312"/>
      <c r="F74" s="395"/>
      <c r="G74" s="53">
        <f>MATRIZ!I192</f>
        <v>47.11</v>
      </c>
      <c r="H74" s="107">
        <f t="shared" si="90"/>
        <v>0.94</v>
      </c>
      <c r="I74" s="107">
        <f t="shared" si="105"/>
        <v>9.42</v>
      </c>
      <c r="J74" s="107">
        <f t="shared" si="106"/>
        <v>2.35</v>
      </c>
      <c r="K74" s="107">
        <f t="shared" si="107"/>
        <v>2.35</v>
      </c>
      <c r="L74" s="107">
        <f t="shared" si="75"/>
        <v>2.82</v>
      </c>
      <c r="M74" s="107">
        <f t="shared" si="108"/>
        <v>1.41</v>
      </c>
      <c r="N74" s="107">
        <f>MATRIZ!$I$373</f>
        <v>42.28</v>
      </c>
      <c r="O74" s="338">
        <f t="shared" si="109"/>
        <v>108.67999999999999</v>
      </c>
      <c r="P74" s="16" t="s">
        <v>22</v>
      </c>
      <c r="Q74" s="107">
        <f>MATRIZ!$I$382</f>
        <v>2.87</v>
      </c>
      <c r="R74" s="371">
        <f t="shared" si="110"/>
        <v>111.55</v>
      </c>
    </row>
    <row r="75" spans="1:18" s="1" customFormat="1" ht="15" customHeight="1" x14ac:dyDescent="0.2">
      <c r="B75" s="767" t="s">
        <v>144</v>
      </c>
      <c r="C75" s="768"/>
      <c r="D75" s="768"/>
      <c r="E75" s="312"/>
      <c r="F75" s="395"/>
      <c r="G75" s="53">
        <f>MATRIZ!I193</f>
        <v>47.11</v>
      </c>
      <c r="H75" s="107">
        <f t="shared" si="90"/>
        <v>0.94</v>
      </c>
      <c r="I75" s="107">
        <f t="shared" ref="I75" si="111">TRUNC(G75*20%,2)</f>
        <v>9.42</v>
      </c>
      <c r="J75" s="107">
        <f t="shared" ref="J75" si="112">TRUNC(G75*5%,2)</f>
        <v>2.35</v>
      </c>
      <c r="K75" s="107">
        <f t="shared" ref="K75" si="113">TRUNC(G75*5%,2)</f>
        <v>2.35</v>
      </c>
      <c r="L75" s="107">
        <f t="shared" si="75"/>
        <v>2.82</v>
      </c>
      <c r="M75" s="107">
        <f t="shared" ref="M75" si="114">TRUNC(G75*3%,2)</f>
        <v>1.41</v>
      </c>
      <c r="N75" s="107">
        <f>MATRIZ!$I$373</f>
        <v>42.28</v>
      </c>
      <c r="O75" s="338">
        <f t="shared" ref="O75" si="115">SUM(G75:N75)</f>
        <v>108.67999999999999</v>
      </c>
      <c r="P75" s="16" t="s">
        <v>22</v>
      </c>
      <c r="Q75" s="107">
        <f>MATRIZ!$I$382</f>
        <v>2.87</v>
      </c>
      <c r="R75" s="371">
        <f t="shared" ref="R75" si="116">SUM(O75:Q75)</f>
        <v>111.55</v>
      </c>
    </row>
    <row r="76" spans="1:18" s="1" customFormat="1" ht="15" customHeight="1" x14ac:dyDescent="0.2">
      <c r="B76" s="767" t="s">
        <v>145</v>
      </c>
      <c r="C76" s="768"/>
      <c r="D76" s="768"/>
      <c r="E76" s="768"/>
      <c r="F76" s="395"/>
      <c r="G76" s="53">
        <f>MATRIZ!I194</f>
        <v>154.08000000000001</v>
      </c>
      <c r="H76" s="107">
        <f t="shared" si="90"/>
        <v>3.08</v>
      </c>
      <c r="I76" s="107">
        <f t="shared" ref="I76" si="117">TRUNC(G76*20%,2)</f>
        <v>30.81</v>
      </c>
      <c r="J76" s="107">
        <f t="shared" ref="J76" si="118">TRUNC(G76*5%,2)</f>
        <v>7.7</v>
      </c>
      <c r="K76" s="107">
        <f t="shared" ref="K76" si="119">TRUNC(G76*5%,2)</f>
        <v>7.7</v>
      </c>
      <c r="L76" s="107">
        <f t="shared" si="75"/>
        <v>9.24</v>
      </c>
      <c r="M76" s="107">
        <f t="shared" ref="M76" si="120">TRUNC(G76*3%,2)</f>
        <v>4.62</v>
      </c>
      <c r="N76" s="107">
        <f>MATRIZ!$I$373</f>
        <v>42.28</v>
      </c>
      <c r="O76" s="338">
        <f t="shared" ref="O76" si="121">SUM(G76:N76)</f>
        <v>259.51</v>
      </c>
      <c r="P76" s="16" t="s">
        <v>22</v>
      </c>
      <c r="Q76" s="107">
        <f>MATRIZ!$I$382</f>
        <v>2.87</v>
      </c>
      <c r="R76" s="371">
        <f t="shared" ref="R76" si="122">SUM(O76:Q76)</f>
        <v>262.38</v>
      </c>
    </row>
    <row r="77" spans="1:18" s="1" customFormat="1" ht="15.75" customHeight="1" x14ac:dyDescent="0.2">
      <c r="B77" s="833" t="s">
        <v>146</v>
      </c>
      <c r="C77" s="834"/>
      <c r="D77" s="834"/>
      <c r="E77" s="834"/>
      <c r="F77" s="395"/>
      <c r="G77" s="53">
        <f>MATRIZ!I195</f>
        <v>17</v>
      </c>
      <c r="H77" s="107">
        <f t="shared" si="90"/>
        <v>0.34</v>
      </c>
      <c r="I77" s="107">
        <f t="shared" ref="I77:I79" si="123">TRUNC(G77*20%,2)</f>
        <v>3.4</v>
      </c>
      <c r="J77" s="107">
        <f t="shared" ref="J77:J79" si="124">TRUNC(G77*5%,2)</f>
        <v>0.85</v>
      </c>
      <c r="K77" s="107">
        <f t="shared" ref="K77:K79" si="125">TRUNC(G77*5%,2)</f>
        <v>0.85</v>
      </c>
      <c r="L77" s="107">
        <f t="shared" si="75"/>
        <v>1.02</v>
      </c>
      <c r="M77" s="107">
        <f t="shared" ref="M77:M79" si="126">TRUNC(G77*3%,2)</f>
        <v>0.51</v>
      </c>
      <c r="N77" s="16" t="s">
        <v>22</v>
      </c>
      <c r="O77" s="338">
        <f t="shared" ref="O77:O86" si="127">SUM(G77:N77)</f>
        <v>23.970000000000002</v>
      </c>
      <c r="P77" s="16" t="s">
        <v>22</v>
      </c>
      <c r="Q77" s="107">
        <f>MATRIZ!$I$382</f>
        <v>2.87</v>
      </c>
      <c r="R77" s="371">
        <f t="shared" ref="R77:R86" si="128">SUM(O77:Q77)</f>
        <v>26.840000000000003</v>
      </c>
    </row>
    <row r="78" spans="1:18" s="1" customFormat="1" ht="22.5" customHeight="1" x14ac:dyDescent="0.2">
      <c r="B78" s="764" t="s">
        <v>147</v>
      </c>
      <c r="C78" s="765"/>
      <c r="D78" s="765"/>
      <c r="E78" s="765"/>
      <c r="F78" s="766"/>
      <c r="G78" s="53">
        <f>MATRIZ!I196</f>
        <v>16.93</v>
      </c>
      <c r="H78" s="107">
        <f t="shared" si="90"/>
        <v>0.33</v>
      </c>
      <c r="I78" s="107">
        <f t="shared" si="123"/>
        <v>3.38</v>
      </c>
      <c r="J78" s="107">
        <f t="shared" si="124"/>
        <v>0.84</v>
      </c>
      <c r="K78" s="107">
        <f t="shared" si="125"/>
        <v>0.84</v>
      </c>
      <c r="L78" s="107">
        <f t="shared" si="75"/>
        <v>1.01</v>
      </c>
      <c r="M78" s="107">
        <f t="shared" si="126"/>
        <v>0.5</v>
      </c>
      <c r="N78" s="16" t="s">
        <v>22</v>
      </c>
      <c r="O78" s="338">
        <f t="shared" si="127"/>
        <v>23.83</v>
      </c>
      <c r="P78" s="16" t="s">
        <v>22</v>
      </c>
      <c r="Q78" s="107">
        <f>MATRIZ!$I$382</f>
        <v>2.87</v>
      </c>
      <c r="R78" s="371">
        <f t="shared" si="128"/>
        <v>26.7</v>
      </c>
    </row>
    <row r="79" spans="1:18" s="1" customFormat="1" ht="23.25" customHeight="1" x14ac:dyDescent="0.2">
      <c r="B79" s="764" t="s">
        <v>462</v>
      </c>
      <c r="C79" s="765"/>
      <c r="D79" s="765"/>
      <c r="E79" s="765"/>
      <c r="F79" s="766"/>
      <c r="G79" s="53">
        <f>MATRIZ!I197</f>
        <v>66.349999999999994</v>
      </c>
      <c r="H79" s="107">
        <f t="shared" si="90"/>
        <v>1.32</v>
      </c>
      <c r="I79" s="107">
        <f t="shared" si="123"/>
        <v>13.27</v>
      </c>
      <c r="J79" s="107">
        <f t="shared" si="124"/>
        <v>3.31</v>
      </c>
      <c r="K79" s="107">
        <f t="shared" si="125"/>
        <v>3.31</v>
      </c>
      <c r="L79" s="107">
        <f t="shared" si="75"/>
        <v>3.98</v>
      </c>
      <c r="M79" s="107">
        <f t="shared" si="126"/>
        <v>1.99</v>
      </c>
      <c r="N79" s="16" t="s">
        <v>22</v>
      </c>
      <c r="O79" s="338">
        <f t="shared" si="127"/>
        <v>93.529999999999987</v>
      </c>
      <c r="P79" s="16" t="s">
        <v>22</v>
      </c>
      <c r="Q79" s="107">
        <f>MATRIZ!$I$382</f>
        <v>2.87</v>
      </c>
      <c r="R79" s="371">
        <f t="shared" si="128"/>
        <v>96.399999999999991</v>
      </c>
    </row>
    <row r="80" spans="1:18" s="1" customFormat="1" ht="15.75" customHeight="1" x14ac:dyDescent="0.2">
      <c r="B80" s="764" t="s">
        <v>248</v>
      </c>
      <c r="C80" s="765"/>
      <c r="D80" s="765"/>
      <c r="E80" s="765"/>
      <c r="F80" s="395"/>
      <c r="G80" s="53" t="str">
        <f>MATRIZ!I198</f>
        <v>---</v>
      </c>
      <c r="H80" s="107"/>
      <c r="I80" s="107"/>
      <c r="J80" s="107"/>
      <c r="K80" s="107"/>
      <c r="L80" s="107"/>
      <c r="M80" s="107"/>
      <c r="N80" s="107"/>
      <c r="O80" s="388"/>
      <c r="P80" s="16" t="s">
        <v>22</v>
      </c>
      <c r="Q80" s="107"/>
      <c r="R80" s="371"/>
    </row>
    <row r="81" spans="2:18" s="1" customFormat="1" ht="15.75" customHeight="1" x14ac:dyDescent="0.2">
      <c r="B81" s="761" t="s">
        <v>249</v>
      </c>
      <c r="C81" s="762"/>
      <c r="D81" s="762"/>
      <c r="E81" s="762"/>
      <c r="F81" s="395"/>
      <c r="G81" s="53">
        <f>MATRIZ!I199</f>
        <v>675.94</v>
      </c>
      <c r="H81" s="107">
        <f t="shared" si="90"/>
        <v>13.51</v>
      </c>
      <c r="I81" s="107">
        <f t="shared" ref="I81:I82" si="129">TRUNC(G81*20%,2)</f>
        <v>135.18</v>
      </c>
      <c r="J81" s="107">
        <f t="shared" ref="J81:J82" si="130">TRUNC(G81*5%,2)</f>
        <v>33.79</v>
      </c>
      <c r="K81" s="107">
        <f t="shared" ref="K81:K82" si="131">TRUNC(G81*5%,2)</f>
        <v>33.79</v>
      </c>
      <c r="L81" s="107">
        <f t="shared" si="75"/>
        <v>40.549999999999997</v>
      </c>
      <c r="M81" s="107">
        <f t="shared" ref="M81:M82" si="132">TRUNC(G81*3%,2)</f>
        <v>20.27</v>
      </c>
      <c r="N81" s="107">
        <f>MATRIZ!$I$373</f>
        <v>42.28</v>
      </c>
      <c r="O81" s="338">
        <f t="shared" ref="O81:O82" si="133">SUM(G81:N81)</f>
        <v>995.31</v>
      </c>
      <c r="P81" s="16" t="s">
        <v>22</v>
      </c>
      <c r="Q81" s="107">
        <f>MATRIZ!$I$382</f>
        <v>2.87</v>
      </c>
      <c r="R81" s="371">
        <f t="shared" ref="R81:R82" si="134">SUM(O81:Q81)</f>
        <v>998.18</v>
      </c>
    </row>
    <row r="82" spans="2:18" s="1" customFormat="1" ht="15.75" customHeight="1" x14ac:dyDescent="0.2">
      <c r="B82" s="767" t="s">
        <v>250</v>
      </c>
      <c r="C82" s="768"/>
      <c r="D82" s="768"/>
      <c r="E82" s="768"/>
      <c r="F82" s="395"/>
      <c r="G82" s="53">
        <f>MATRIZ!I200</f>
        <v>368.69</v>
      </c>
      <c r="H82" s="107">
        <f t="shared" si="90"/>
        <v>7.37</v>
      </c>
      <c r="I82" s="107">
        <f t="shared" si="129"/>
        <v>73.73</v>
      </c>
      <c r="J82" s="107">
        <f t="shared" si="130"/>
        <v>18.43</v>
      </c>
      <c r="K82" s="107">
        <f t="shared" si="131"/>
        <v>18.43</v>
      </c>
      <c r="L82" s="107">
        <f t="shared" si="75"/>
        <v>22.12</v>
      </c>
      <c r="M82" s="107">
        <f t="shared" si="132"/>
        <v>11.06</v>
      </c>
      <c r="N82" s="107">
        <f>MATRIZ!$I$373</f>
        <v>42.28</v>
      </c>
      <c r="O82" s="338">
        <f t="shared" si="133"/>
        <v>562.11</v>
      </c>
      <c r="P82" s="16" t="s">
        <v>22</v>
      </c>
      <c r="Q82" s="107">
        <f>MATRIZ!$I$382</f>
        <v>2.87</v>
      </c>
      <c r="R82" s="371">
        <f t="shared" si="134"/>
        <v>564.98</v>
      </c>
    </row>
    <row r="83" spans="2:18" s="1" customFormat="1" ht="15.75" customHeight="1" x14ac:dyDescent="0.2">
      <c r="B83" s="65" t="s">
        <v>148</v>
      </c>
      <c r="C83" s="384"/>
      <c r="D83" s="384"/>
      <c r="E83" s="384"/>
      <c r="F83" s="395"/>
      <c r="G83" s="53" t="str">
        <f>MATRIZ!I201</f>
        <v>---</v>
      </c>
      <c r="H83" s="107"/>
      <c r="I83" s="107"/>
      <c r="J83" s="107"/>
      <c r="K83" s="107"/>
      <c r="L83" s="107"/>
      <c r="M83" s="107"/>
      <c r="N83" s="107"/>
      <c r="O83" s="388"/>
      <c r="P83" s="16" t="s">
        <v>22</v>
      </c>
      <c r="Q83" s="107"/>
      <c r="R83" s="371"/>
    </row>
    <row r="84" spans="2:18" s="1" customFormat="1" ht="15.75" customHeight="1" x14ac:dyDescent="0.2">
      <c r="B84" s="62" t="s">
        <v>149</v>
      </c>
      <c r="C84" s="384"/>
      <c r="D84" s="384"/>
      <c r="E84" s="384"/>
      <c r="F84" s="395"/>
      <c r="G84" s="53">
        <f>MATRIZ!I202</f>
        <v>491.59</v>
      </c>
      <c r="H84" s="107">
        <f>TRUNC(G84*2%,2)</f>
        <v>9.83</v>
      </c>
      <c r="I84" s="107">
        <f t="shared" ref="I84" si="135">TRUNC(G84*20%,2)</f>
        <v>98.31</v>
      </c>
      <c r="J84" s="107">
        <f t="shared" ref="J84" si="136">TRUNC(G84*5%,2)</f>
        <v>24.57</v>
      </c>
      <c r="K84" s="107">
        <f t="shared" ref="K84" si="137">TRUNC(G84*5%,2)</f>
        <v>24.57</v>
      </c>
      <c r="L84" s="107">
        <f t="shared" si="75"/>
        <v>29.49</v>
      </c>
      <c r="M84" s="107">
        <f t="shared" ref="M84" si="138">TRUNC(G84*3%,2)</f>
        <v>14.74</v>
      </c>
      <c r="N84" s="107">
        <f>MATRIZ!$I$373</f>
        <v>42.28</v>
      </c>
      <c r="O84" s="338">
        <f t="shared" ref="O84" si="139">SUM(G84:N84)</f>
        <v>735.38000000000011</v>
      </c>
      <c r="P84" s="16" t="s">
        <v>22</v>
      </c>
      <c r="Q84" s="107">
        <f>MATRIZ!$I$382</f>
        <v>2.87</v>
      </c>
      <c r="R84" s="371">
        <f t="shared" ref="R84" si="140">SUM(O84:Q84)</f>
        <v>738.25000000000011</v>
      </c>
    </row>
    <row r="85" spans="2:18" s="1" customFormat="1" ht="15.75" customHeight="1" x14ac:dyDescent="0.2">
      <c r="B85" s="62" t="s">
        <v>150</v>
      </c>
      <c r="C85" s="384"/>
      <c r="D85" s="384"/>
      <c r="E85" s="384"/>
      <c r="F85" s="395"/>
      <c r="G85" s="57" t="str">
        <f>MATRIZ!I203</f>
        <v>Ver item 1</v>
      </c>
      <c r="H85" s="16" t="s">
        <v>22</v>
      </c>
      <c r="I85" s="16" t="s">
        <v>22</v>
      </c>
      <c r="J85" s="16" t="s">
        <v>22</v>
      </c>
      <c r="K85" s="16" t="s">
        <v>22</v>
      </c>
      <c r="L85" s="16" t="s">
        <v>22</v>
      </c>
      <c r="M85" s="16" t="s">
        <v>22</v>
      </c>
      <c r="N85" s="16" t="s">
        <v>22</v>
      </c>
      <c r="O85" s="16" t="s">
        <v>22</v>
      </c>
      <c r="P85" s="16" t="s">
        <v>22</v>
      </c>
      <c r="Q85" s="492" t="s">
        <v>22</v>
      </c>
      <c r="R85" s="493" t="s">
        <v>22</v>
      </c>
    </row>
    <row r="86" spans="2:18" s="1" customFormat="1" ht="15.75" customHeight="1" x14ac:dyDescent="0.2">
      <c r="B86" s="65" t="s">
        <v>151</v>
      </c>
      <c r="C86" s="384"/>
      <c r="D86" s="384"/>
      <c r="E86" s="384"/>
      <c r="F86" s="395"/>
      <c r="G86" s="53">
        <f>MATRIZ!I204</f>
        <v>30.22</v>
      </c>
      <c r="H86" s="107">
        <f t="shared" ref="H86" si="141">TRUNC(G86*2%,2)</f>
        <v>0.6</v>
      </c>
      <c r="I86" s="107">
        <f t="shared" ref="I86" si="142">TRUNC(G86*20%,2)</f>
        <v>6.04</v>
      </c>
      <c r="J86" s="107">
        <f t="shared" ref="J86" si="143">TRUNC(G86*5%,2)</f>
        <v>1.51</v>
      </c>
      <c r="K86" s="107">
        <f t="shared" ref="K86" si="144">TRUNC(G86*5%,2)</f>
        <v>1.51</v>
      </c>
      <c r="L86" s="107">
        <f t="shared" si="75"/>
        <v>1.81</v>
      </c>
      <c r="M86" s="107">
        <f t="shared" ref="M86" si="145">TRUNC(G86*3%,2)</f>
        <v>0.9</v>
      </c>
      <c r="N86" s="16" t="s">
        <v>22</v>
      </c>
      <c r="O86" s="338">
        <f t="shared" si="127"/>
        <v>42.589999999999996</v>
      </c>
      <c r="P86" s="16" t="s">
        <v>22</v>
      </c>
      <c r="Q86" s="107">
        <f>MATRIZ!$I$382</f>
        <v>2.87</v>
      </c>
      <c r="R86" s="371">
        <f t="shared" si="128"/>
        <v>45.459999999999994</v>
      </c>
    </row>
    <row r="87" spans="2:18" s="1" customFormat="1" ht="9.75" customHeight="1" x14ac:dyDescent="0.2">
      <c r="B87" s="322"/>
      <c r="C87" s="384"/>
      <c r="D87" s="384"/>
      <c r="E87" s="384"/>
      <c r="F87" s="395"/>
      <c r="G87" s="338"/>
      <c r="H87" s="107"/>
      <c r="I87" s="107"/>
      <c r="J87" s="107"/>
      <c r="K87" s="107"/>
      <c r="L87" s="107"/>
      <c r="M87" s="107"/>
      <c r="N87" s="61"/>
      <c r="O87" s="107"/>
      <c r="P87" s="107"/>
      <c r="Q87" s="107"/>
      <c r="R87" s="373"/>
    </row>
    <row r="88" spans="2:18" s="1" customFormat="1" ht="15.75" customHeight="1" x14ac:dyDescent="0.2">
      <c r="B88" s="323" t="s">
        <v>152</v>
      </c>
      <c r="C88" s="324"/>
      <c r="D88" s="324"/>
      <c r="E88" s="324"/>
      <c r="F88" s="324"/>
      <c r="G88" s="66" t="s">
        <v>498</v>
      </c>
      <c r="H88" s="67">
        <v>0.02</v>
      </c>
      <c r="I88" s="67">
        <v>0.2</v>
      </c>
      <c r="J88" s="67">
        <v>0.05</v>
      </c>
      <c r="K88" s="67">
        <v>0.05</v>
      </c>
      <c r="L88" s="67">
        <v>0.06</v>
      </c>
      <c r="M88" s="67" t="s">
        <v>5</v>
      </c>
      <c r="N88" s="14" t="s">
        <v>110</v>
      </c>
      <c r="O88" s="407" t="s">
        <v>501</v>
      </c>
      <c r="P88" s="14" t="s">
        <v>110</v>
      </c>
      <c r="Q88" s="68" t="s">
        <v>6</v>
      </c>
      <c r="R88" s="69" t="s">
        <v>7</v>
      </c>
    </row>
    <row r="89" spans="2:18" s="1" customFormat="1" ht="12.75" x14ac:dyDescent="0.2">
      <c r="B89" s="375" t="s">
        <v>153</v>
      </c>
      <c r="C89" s="321"/>
      <c r="D89" s="321"/>
      <c r="E89" s="321"/>
      <c r="F89" s="321"/>
      <c r="G89" s="70">
        <f>MATRIZ!I5</f>
        <v>30.22</v>
      </c>
      <c r="H89" s="14" t="s">
        <v>110</v>
      </c>
      <c r="I89" s="351">
        <f>TRUNC(G89*20%,2)</f>
        <v>6.04</v>
      </c>
      <c r="J89" s="351">
        <f>TRUNC(G89*5%,2)</f>
        <v>1.51</v>
      </c>
      <c r="K89" s="351">
        <f>TRUNC(G89*5%,2)</f>
        <v>1.51</v>
      </c>
      <c r="L89" s="351">
        <f>TRUNC(G89*6%,2)</f>
        <v>1.81</v>
      </c>
      <c r="M89" s="351">
        <f>TRUNC(G89*3%,2)</f>
        <v>0.9</v>
      </c>
      <c r="N89" s="14" t="s">
        <v>110</v>
      </c>
      <c r="O89" s="14">
        <f t="shared" ref="O89:O90" si="146">SUM(G89:N89)</f>
        <v>41.989999999999995</v>
      </c>
      <c r="P89" s="14" t="s">
        <v>110</v>
      </c>
      <c r="Q89" s="17">
        <f>MATRIZ!I382</f>
        <v>2.87</v>
      </c>
      <c r="R89" s="405">
        <f t="shared" ref="R89:R90" si="147">SUM(O89:Q89)</f>
        <v>44.859999999999992</v>
      </c>
    </row>
    <row r="90" spans="2:18" s="1" customFormat="1" ht="13.5" thickBot="1" x14ac:dyDescent="0.25">
      <c r="B90" s="396" t="s">
        <v>154</v>
      </c>
      <c r="C90" s="397"/>
      <c r="D90" s="397"/>
      <c r="E90" s="397"/>
      <c r="F90" s="397"/>
      <c r="G90" s="398">
        <f>MATRIZ!I5</f>
        <v>30.22</v>
      </c>
      <c r="H90" s="399" t="s">
        <v>110</v>
      </c>
      <c r="I90" s="664">
        <f>TRUNC(G90*20%,2)</f>
        <v>6.04</v>
      </c>
      <c r="J90" s="664">
        <f>TRUNC(G90*5%,2)</f>
        <v>1.51</v>
      </c>
      <c r="K90" s="664">
        <f>TRUNC(G90*5%,2)</f>
        <v>1.51</v>
      </c>
      <c r="L90" s="664">
        <f>TRUNC(G90*6%,2)</f>
        <v>1.81</v>
      </c>
      <c r="M90" s="664">
        <f>TRUNC(G90*3%,2)</f>
        <v>0.9</v>
      </c>
      <c r="N90" s="399" t="s">
        <v>110</v>
      </c>
      <c r="O90" s="399">
        <f t="shared" si="146"/>
        <v>41.989999999999995</v>
      </c>
      <c r="P90" s="399" t="s">
        <v>110</v>
      </c>
      <c r="Q90" s="399" t="s">
        <v>110</v>
      </c>
      <c r="R90" s="406">
        <f t="shared" si="147"/>
        <v>41.989999999999995</v>
      </c>
    </row>
    <row r="91" spans="2:18" ht="15.75" thickBot="1" x14ac:dyDescent="0.3"/>
    <row r="92" spans="2:18" s="1" customFormat="1" ht="15" customHeight="1" x14ac:dyDescent="0.2">
      <c r="B92" s="807" t="s">
        <v>155</v>
      </c>
      <c r="C92" s="808"/>
      <c r="D92" s="808"/>
      <c r="E92" s="808"/>
      <c r="F92" s="808"/>
      <c r="G92" s="808"/>
      <c r="H92" s="808"/>
      <c r="I92" s="808"/>
      <c r="J92" s="808"/>
      <c r="K92" s="808"/>
      <c r="L92" s="808"/>
      <c r="M92" s="808"/>
      <c r="N92" s="808"/>
      <c r="O92" s="808"/>
      <c r="P92" s="808"/>
      <c r="Q92" s="808"/>
      <c r="R92" s="809"/>
    </row>
    <row r="93" spans="2:18" s="1" customFormat="1" ht="6.75" customHeight="1" x14ac:dyDescent="0.2">
      <c r="B93" s="810"/>
      <c r="C93" s="811"/>
      <c r="D93" s="811"/>
      <c r="E93" s="811"/>
      <c r="F93" s="811"/>
      <c r="G93" s="811"/>
      <c r="H93" s="811"/>
      <c r="I93" s="811"/>
      <c r="J93" s="811"/>
      <c r="K93" s="811"/>
      <c r="L93" s="811"/>
      <c r="M93" s="811"/>
      <c r="N93" s="811"/>
      <c r="O93" s="811"/>
      <c r="P93" s="811"/>
      <c r="Q93" s="811"/>
      <c r="R93" s="812"/>
    </row>
    <row r="94" spans="2:18" s="1" customFormat="1" ht="27.75" customHeight="1" x14ac:dyDescent="0.2">
      <c r="B94" s="814" t="s">
        <v>502</v>
      </c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3">
        <f>MATRIZ!H155</f>
        <v>101700.61</v>
      </c>
      <c r="R94" s="813"/>
    </row>
    <row r="95" spans="2:18" s="1" customFormat="1" ht="18.75" customHeight="1" x14ac:dyDescent="0.2">
      <c r="B95" s="816" t="s">
        <v>435</v>
      </c>
      <c r="C95" s="817"/>
      <c r="D95" s="817"/>
      <c r="E95" s="817"/>
      <c r="F95" s="817"/>
      <c r="G95" s="817"/>
      <c r="H95" s="817"/>
      <c r="I95" s="817"/>
      <c r="J95" s="817"/>
      <c r="K95" s="817"/>
      <c r="L95" s="817"/>
      <c r="M95" s="817"/>
      <c r="N95" s="817"/>
      <c r="O95" s="817"/>
      <c r="P95" s="817"/>
      <c r="Q95" s="825"/>
      <c r="R95" s="826"/>
    </row>
    <row r="96" spans="2:18" s="1" customFormat="1" ht="23.25" customHeight="1" x14ac:dyDescent="0.2">
      <c r="B96" s="816" t="s">
        <v>436</v>
      </c>
      <c r="C96" s="817"/>
      <c r="D96" s="817"/>
      <c r="E96" s="817"/>
      <c r="F96" s="817"/>
      <c r="G96" s="817"/>
      <c r="H96" s="817"/>
      <c r="I96" s="817"/>
      <c r="J96" s="817"/>
      <c r="K96" s="817"/>
      <c r="L96" s="817"/>
      <c r="M96" s="817"/>
      <c r="N96" s="817"/>
      <c r="O96" s="817"/>
      <c r="P96" s="817"/>
      <c r="Q96" s="817"/>
      <c r="R96" s="818"/>
    </row>
    <row r="97" spans="2:18" s="1" customFormat="1" ht="24.75" customHeight="1" x14ac:dyDescent="0.2">
      <c r="B97" s="819" t="s">
        <v>437</v>
      </c>
      <c r="C97" s="820"/>
      <c r="D97" s="820"/>
      <c r="E97" s="820"/>
      <c r="F97" s="820"/>
      <c r="G97" s="820"/>
      <c r="H97" s="820"/>
      <c r="I97" s="820"/>
      <c r="J97" s="820"/>
      <c r="K97" s="820"/>
      <c r="L97" s="820"/>
      <c r="M97" s="820"/>
      <c r="N97" s="820"/>
      <c r="O97" s="820"/>
      <c r="P97" s="820"/>
      <c r="Q97" s="820"/>
      <c r="R97" s="821"/>
    </row>
    <row r="98" spans="2:18" s="1" customFormat="1" ht="20.25" customHeight="1" x14ac:dyDescent="0.2">
      <c r="B98" s="822" t="s">
        <v>438</v>
      </c>
      <c r="C98" s="823"/>
      <c r="D98" s="823"/>
      <c r="E98" s="823"/>
      <c r="F98" s="823"/>
      <c r="G98" s="823"/>
      <c r="H98" s="823"/>
      <c r="I98" s="823"/>
      <c r="J98" s="823"/>
      <c r="K98" s="823"/>
      <c r="L98" s="823"/>
      <c r="M98" s="823"/>
      <c r="N98" s="823"/>
      <c r="O98" s="823"/>
      <c r="P98" s="823"/>
      <c r="Q98" s="823"/>
      <c r="R98" s="824"/>
    </row>
    <row r="99" spans="2:18" s="1" customFormat="1" ht="21.75" customHeight="1" thickBot="1" x14ac:dyDescent="0.25">
      <c r="B99" s="803" t="s">
        <v>494</v>
      </c>
      <c r="C99" s="804"/>
      <c r="D99" s="804"/>
      <c r="E99" s="804"/>
      <c r="F99" s="804"/>
      <c r="G99" s="804"/>
      <c r="H99" s="804"/>
      <c r="I99" s="804"/>
      <c r="J99" s="804"/>
      <c r="K99" s="804"/>
      <c r="L99" s="804"/>
      <c r="M99" s="804"/>
      <c r="N99" s="804"/>
      <c r="O99" s="804"/>
      <c r="P99" s="320"/>
      <c r="Q99" s="805">
        <f>MATRIZ!I207</f>
        <v>307.24</v>
      </c>
      <c r="R99" s="806"/>
    </row>
  </sheetData>
  <mergeCells count="48">
    <mergeCell ref="B82:E82"/>
    <mergeCell ref="O51:O52"/>
    <mergeCell ref="P51:P52"/>
    <mergeCell ref="Q51:Q52"/>
    <mergeCell ref="R51:R52"/>
    <mergeCell ref="B71:F71"/>
    <mergeCell ref="B73:D73"/>
    <mergeCell ref="B80:E80"/>
    <mergeCell ref="B77:E77"/>
    <mergeCell ref="B78:F78"/>
    <mergeCell ref="B81:E81"/>
    <mergeCell ref="B51:F52"/>
    <mergeCell ref="G51:G52"/>
    <mergeCell ref="M51:M52"/>
    <mergeCell ref="N51:N52"/>
    <mergeCell ref="B99:O99"/>
    <mergeCell ref="Q99:R99"/>
    <mergeCell ref="B92:R93"/>
    <mergeCell ref="Q94:R94"/>
    <mergeCell ref="B94:P94"/>
    <mergeCell ref="B96:R96"/>
    <mergeCell ref="B97:R97"/>
    <mergeCell ref="B98:R98"/>
    <mergeCell ref="B95:R95"/>
    <mergeCell ref="B15:F15"/>
    <mergeCell ref="B25:F25"/>
    <mergeCell ref="Q2:Q3"/>
    <mergeCell ref="B13:F13"/>
    <mergeCell ref="B28:F28"/>
    <mergeCell ref="M14:N14"/>
    <mergeCell ref="M26:N26"/>
    <mergeCell ref="R2:R3"/>
    <mergeCell ref="G1:R1"/>
    <mergeCell ref="B1:F1"/>
    <mergeCell ref="B2:F3"/>
    <mergeCell ref="G2:G3"/>
    <mergeCell ref="N2:N3"/>
    <mergeCell ref="O2:O3"/>
    <mergeCell ref="P2:P3"/>
    <mergeCell ref="B34:F34"/>
    <mergeCell ref="B29:F29"/>
    <mergeCell ref="B31:F31"/>
    <mergeCell ref="B79:F79"/>
    <mergeCell ref="B74:D74"/>
    <mergeCell ref="B75:D75"/>
    <mergeCell ref="B76:E76"/>
    <mergeCell ref="B32:F32"/>
    <mergeCell ref="B33:F33"/>
  </mergeCells>
  <printOptions horizontalCentered="1"/>
  <pageMargins left="0.11811023622047245" right="0.51181102362204722" top="0.19685039370078741" bottom="0.19685039370078741" header="0" footer="0"/>
  <pageSetup paperSize="9" scale="70" orientation="landscape" verticalDpi="0" r:id="rId1"/>
  <ignoredErrors>
    <ignoredError sqref="J8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</sheetPr>
  <dimension ref="B1:T56"/>
  <sheetViews>
    <sheetView showGridLines="0" zoomScale="80" zoomScaleNormal="80" workbookViewId="0">
      <pane ySplit="3" topLeftCell="A4" activePane="bottomLeft" state="frozen"/>
      <selection activeCell="L275" sqref="L275"/>
      <selection pane="bottomLeft" activeCell="L275" sqref="L275"/>
    </sheetView>
  </sheetViews>
  <sheetFormatPr defaultRowHeight="12.75" x14ac:dyDescent="0.2"/>
  <cols>
    <col min="1" max="1" width="2.28515625" style="1" customWidth="1"/>
    <col min="2" max="2" width="12" style="1" customWidth="1"/>
    <col min="3" max="3" width="9" style="1" customWidth="1"/>
    <col min="4" max="5" width="11" style="1" customWidth="1"/>
    <col min="6" max="6" width="7.85546875" style="1" customWidth="1"/>
    <col min="7" max="7" width="11.85546875" style="1" customWidth="1"/>
    <col min="8" max="8" width="9.42578125" style="1" bestFit="1" customWidth="1"/>
    <col min="9" max="10" width="9.5703125" style="1" customWidth="1"/>
    <col min="11" max="11" width="8" style="1" customWidth="1"/>
    <col min="12" max="13" width="8.7109375" style="1" customWidth="1"/>
    <col min="14" max="14" width="7.5703125" style="1" customWidth="1"/>
    <col min="15" max="15" width="6.140625" style="1" customWidth="1"/>
    <col min="16" max="16" width="7.42578125" style="1" customWidth="1"/>
    <col min="17" max="18" width="8.7109375" style="1" customWidth="1"/>
    <col min="19" max="19" width="12.28515625" style="9" customWidth="1"/>
    <col min="20" max="16384" width="9.140625" style="1"/>
  </cols>
  <sheetData>
    <row r="1" spans="2:20" s="74" customFormat="1" ht="20.25" customHeight="1" thickBot="1" x14ac:dyDescent="0.3">
      <c r="B1" s="849" t="str">
        <f>MATRIZ!B1</f>
        <v>PORTARIA n.º 423/2025</v>
      </c>
      <c r="C1" s="850"/>
      <c r="D1" s="850"/>
      <c r="E1" s="850"/>
      <c r="F1" s="851"/>
      <c r="G1" s="852" t="s">
        <v>156</v>
      </c>
      <c r="H1" s="853"/>
      <c r="I1" s="853"/>
      <c r="J1" s="853"/>
      <c r="K1" s="853"/>
      <c r="L1" s="853"/>
      <c r="M1" s="853"/>
      <c r="N1" s="853"/>
      <c r="O1" s="853"/>
      <c r="P1" s="853"/>
      <c r="Q1" s="853"/>
      <c r="R1" s="853"/>
      <c r="S1" s="854"/>
    </row>
    <row r="2" spans="2:20" s="7" customFormat="1" ht="18.75" customHeight="1" x14ac:dyDescent="0.2">
      <c r="B2" s="855" t="s">
        <v>506</v>
      </c>
      <c r="C2" s="856"/>
      <c r="D2" s="856"/>
      <c r="E2" s="856"/>
      <c r="F2" s="857"/>
      <c r="G2" s="839" t="s">
        <v>45</v>
      </c>
      <c r="H2" s="75">
        <v>0.02</v>
      </c>
      <c r="I2" s="75">
        <v>0.2</v>
      </c>
      <c r="J2" s="75">
        <v>0.05</v>
      </c>
      <c r="K2" s="75">
        <v>0.05</v>
      </c>
      <c r="L2" s="75">
        <v>0.06</v>
      </c>
      <c r="M2" s="75">
        <v>0.03</v>
      </c>
      <c r="N2" s="843" t="s">
        <v>36</v>
      </c>
      <c r="O2" s="844"/>
      <c r="P2" s="845" t="s">
        <v>106</v>
      </c>
      <c r="Q2" s="845" t="s">
        <v>6</v>
      </c>
      <c r="R2" s="845" t="s">
        <v>158</v>
      </c>
      <c r="S2" s="846" t="s">
        <v>7</v>
      </c>
    </row>
    <row r="3" spans="2:20" s="7" customFormat="1" ht="16.5" customHeight="1" x14ac:dyDescent="0.2">
      <c r="B3" s="76" t="s">
        <v>49</v>
      </c>
      <c r="C3" s="412"/>
      <c r="D3" s="412" t="s">
        <v>50</v>
      </c>
      <c r="E3" s="413"/>
      <c r="F3" s="77"/>
      <c r="G3" s="840"/>
      <c r="H3" s="50" t="s">
        <v>107</v>
      </c>
      <c r="I3" s="325" t="s">
        <v>108</v>
      </c>
      <c r="J3" s="50" t="s">
        <v>109</v>
      </c>
      <c r="K3" s="50" t="s">
        <v>43</v>
      </c>
      <c r="L3" s="50" t="s">
        <v>44</v>
      </c>
      <c r="M3" s="314" t="s">
        <v>157</v>
      </c>
      <c r="N3" s="326" t="s">
        <v>55</v>
      </c>
      <c r="O3" s="326" t="s">
        <v>159</v>
      </c>
      <c r="P3" s="785"/>
      <c r="Q3" s="785"/>
      <c r="R3" s="785"/>
      <c r="S3" s="771"/>
    </row>
    <row r="4" spans="2:20" s="7" customFormat="1" ht="12" x14ac:dyDescent="0.2">
      <c r="B4" s="78">
        <v>0.01</v>
      </c>
      <c r="C4" s="113" t="s">
        <v>11</v>
      </c>
      <c r="D4" s="113">
        <v>18435.099999999999</v>
      </c>
      <c r="E4" s="15" t="s">
        <v>160</v>
      </c>
      <c r="G4" s="53">
        <f>MATRIZ!I142</f>
        <v>290.48</v>
      </c>
      <c r="H4" s="107">
        <f>TRUNC(G4*2%,2)</f>
        <v>5.8</v>
      </c>
      <c r="I4" s="107">
        <f>TRUNC(G4*20%,2)</f>
        <v>58.09</v>
      </c>
      <c r="J4" s="107">
        <f>TRUNC(G4*5%,2)</f>
        <v>14.52</v>
      </c>
      <c r="K4" s="107">
        <f>TRUNC(G4*5%,2)</f>
        <v>14.52</v>
      </c>
      <c r="L4" s="107">
        <f>TRUNC(G4*6%,2)</f>
        <v>17.420000000000002</v>
      </c>
      <c r="M4" s="107">
        <f>TRUNC(G4*3%,2)</f>
        <v>8.7100000000000009</v>
      </c>
      <c r="N4" s="107">
        <f>MATRIZ!$I$373</f>
        <v>42.28</v>
      </c>
      <c r="O4" s="107">
        <v>0</v>
      </c>
      <c r="P4" s="107">
        <f>MATRIZ!$I$381</f>
        <v>32.57</v>
      </c>
      <c r="Q4" s="107">
        <f>MATRIZ!$I$382</f>
        <v>2.87</v>
      </c>
      <c r="R4" s="107" t="s">
        <v>22</v>
      </c>
      <c r="S4" s="371">
        <f>SUM(G4:Q4)</f>
        <v>487.25999999999993</v>
      </c>
    </row>
    <row r="5" spans="2:20" s="7" customFormat="1" ht="12" x14ac:dyDescent="0.2">
      <c r="B5" s="78"/>
      <c r="C5" s="113"/>
      <c r="D5" s="113"/>
      <c r="E5" s="15" t="s">
        <v>161</v>
      </c>
      <c r="G5" s="53">
        <f>MATRIZ!I142</f>
        <v>290.48</v>
      </c>
      <c r="H5" s="107">
        <f>TRUNC(G5*2%,2)</f>
        <v>5.8</v>
      </c>
      <c r="I5" s="107">
        <f>TRUNC(G5*20%,2)</f>
        <v>58.09</v>
      </c>
      <c r="J5" s="107">
        <f>TRUNC(G5*5%,2)</f>
        <v>14.52</v>
      </c>
      <c r="K5" s="107">
        <f>TRUNC(G5*5%,2)</f>
        <v>14.52</v>
      </c>
      <c r="L5" s="107">
        <f>TRUNC(G5*6%,2)</f>
        <v>17.420000000000002</v>
      </c>
      <c r="M5" s="107">
        <f>TRUNC(G5*3%,2)</f>
        <v>8.7100000000000009</v>
      </c>
      <c r="N5" s="107">
        <f>MATRIZ!$I$373</f>
        <v>42.28</v>
      </c>
      <c r="O5" s="107">
        <v>0</v>
      </c>
      <c r="P5" s="107" t="s">
        <v>22</v>
      </c>
      <c r="Q5" s="107">
        <f>MATRIZ!$I$382</f>
        <v>2.87</v>
      </c>
      <c r="R5" s="414">
        <v>1</v>
      </c>
      <c r="S5" s="371">
        <f>SUM(G5:Q5)</f>
        <v>454.68999999999994</v>
      </c>
    </row>
    <row r="6" spans="2:20" s="7" customFormat="1" ht="12" x14ac:dyDescent="0.2">
      <c r="B6" s="79"/>
      <c r="C6" s="415"/>
      <c r="D6" s="415"/>
      <c r="E6" s="416" t="s">
        <v>7</v>
      </c>
      <c r="F6" s="417"/>
      <c r="G6" s="80">
        <f>SUM(G4:G5)</f>
        <v>580.96</v>
      </c>
      <c r="H6" s="80">
        <f>SUM(H4:H5)</f>
        <v>11.6</v>
      </c>
      <c r="I6" s="80">
        <f t="shared" ref="I6:P6" si="0">SUM(I4:I5)</f>
        <v>116.18</v>
      </c>
      <c r="J6" s="80">
        <f t="shared" si="0"/>
        <v>29.04</v>
      </c>
      <c r="K6" s="80">
        <f t="shared" si="0"/>
        <v>29.04</v>
      </c>
      <c r="L6" s="80">
        <f t="shared" si="0"/>
        <v>34.840000000000003</v>
      </c>
      <c r="M6" s="80">
        <f t="shared" si="0"/>
        <v>17.420000000000002</v>
      </c>
      <c r="N6" s="80">
        <f t="shared" si="0"/>
        <v>84.56</v>
      </c>
      <c r="O6" s="80">
        <f t="shared" si="0"/>
        <v>0</v>
      </c>
      <c r="P6" s="80">
        <f t="shared" si="0"/>
        <v>32.57</v>
      </c>
      <c r="Q6" s="80">
        <f>SUM(Q4:Q5)</f>
        <v>5.74</v>
      </c>
      <c r="R6" s="81"/>
      <c r="S6" s="420">
        <f>SUM(S4:S5)</f>
        <v>941.94999999999982</v>
      </c>
      <c r="T6" s="419"/>
    </row>
    <row r="7" spans="2:20" s="7" customFormat="1" ht="12" x14ac:dyDescent="0.2">
      <c r="B7" s="78">
        <f>D4+0.01</f>
        <v>18435.109999999997</v>
      </c>
      <c r="C7" s="113" t="s">
        <v>11</v>
      </c>
      <c r="D7" s="113">
        <v>36870.230000000003</v>
      </c>
      <c r="E7" s="15" t="s">
        <v>160</v>
      </c>
      <c r="G7" s="53">
        <f>MATRIZ!I143</f>
        <v>480</v>
      </c>
      <c r="H7" s="107">
        <f>TRUNC(G7*2%,2)</f>
        <v>9.6</v>
      </c>
      <c r="I7" s="107">
        <f>TRUNC(G7*20%,2)</f>
        <v>96</v>
      </c>
      <c r="J7" s="107">
        <f>TRUNC(G7*5%,2)</f>
        <v>24</v>
      </c>
      <c r="K7" s="107">
        <f>TRUNC(G7*5%,2)</f>
        <v>24</v>
      </c>
      <c r="L7" s="107">
        <f>TRUNC(G7*6%,2)</f>
        <v>28.8</v>
      </c>
      <c r="M7" s="107">
        <f>TRUNC(G7*3%,2)</f>
        <v>14.4</v>
      </c>
      <c r="N7" s="107">
        <f>MATRIZ!$I$373</f>
        <v>42.28</v>
      </c>
      <c r="O7" s="107">
        <v>0</v>
      </c>
      <c r="P7" s="107">
        <f>MATRIZ!$I$381</f>
        <v>32.57</v>
      </c>
      <c r="Q7" s="107">
        <f>MATRIZ!$I$382</f>
        <v>2.87</v>
      </c>
      <c r="R7" s="107" t="s">
        <v>22</v>
      </c>
      <c r="S7" s="371">
        <f>SUM(G7:Q7)</f>
        <v>754.52</v>
      </c>
    </row>
    <row r="8" spans="2:20" s="7" customFormat="1" ht="12" x14ac:dyDescent="0.2">
      <c r="B8" s="78"/>
      <c r="C8" s="113"/>
      <c r="D8" s="113"/>
      <c r="E8" s="15" t="s">
        <v>161</v>
      </c>
      <c r="G8" s="53">
        <f>MATRIZ!I143</f>
        <v>480</v>
      </c>
      <c r="H8" s="107">
        <f>TRUNC(G8*2%,2)</f>
        <v>9.6</v>
      </c>
      <c r="I8" s="107">
        <f>TRUNC(G8*20%,2)</f>
        <v>96</v>
      </c>
      <c r="J8" s="107">
        <f>TRUNC(G8*5%,2)</f>
        <v>24</v>
      </c>
      <c r="K8" s="107">
        <f>TRUNC(G8*5%,2)</f>
        <v>24</v>
      </c>
      <c r="L8" s="107">
        <f>TRUNC(G8*6%,2)</f>
        <v>28.8</v>
      </c>
      <c r="M8" s="107">
        <f>TRUNC(G8*3%,2)</f>
        <v>14.4</v>
      </c>
      <c r="N8" s="107">
        <f>MATRIZ!$I$373</f>
        <v>42.28</v>
      </c>
      <c r="O8" s="107">
        <v>0</v>
      </c>
      <c r="P8" s="107" t="s">
        <v>22</v>
      </c>
      <c r="Q8" s="107">
        <f>MATRIZ!$I$382</f>
        <v>2.87</v>
      </c>
      <c r="R8" s="414">
        <v>1</v>
      </c>
      <c r="S8" s="371">
        <f>SUM(G8:Q8)</f>
        <v>721.94999999999993</v>
      </c>
    </row>
    <row r="9" spans="2:20" s="7" customFormat="1" ht="12" x14ac:dyDescent="0.2">
      <c r="B9" s="79"/>
      <c r="C9" s="415"/>
      <c r="D9" s="415"/>
      <c r="E9" s="416" t="s">
        <v>7</v>
      </c>
      <c r="F9" s="417"/>
      <c r="G9" s="80">
        <f>SUM(G7:G8)</f>
        <v>960</v>
      </c>
      <c r="H9" s="80">
        <f>SUM(H7:H8)</f>
        <v>19.2</v>
      </c>
      <c r="I9" s="80">
        <f t="shared" ref="I9" si="1">SUM(I7:I8)</f>
        <v>192</v>
      </c>
      <c r="J9" s="80">
        <f t="shared" ref="J9" si="2">SUM(J7:J8)</f>
        <v>48</v>
      </c>
      <c r="K9" s="80">
        <f t="shared" ref="K9" si="3">SUM(K7:K8)</f>
        <v>48</v>
      </c>
      <c r="L9" s="80">
        <f t="shared" ref="L9" si="4">SUM(L7:L8)</f>
        <v>57.6</v>
      </c>
      <c r="M9" s="80">
        <f t="shared" ref="M9" si="5">SUM(M7:M8)</f>
        <v>28.8</v>
      </c>
      <c r="N9" s="80">
        <f t="shared" ref="N9" si="6">SUM(N7:N8)</f>
        <v>84.56</v>
      </c>
      <c r="O9" s="80">
        <f t="shared" ref="O9" si="7">SUM(O7:O8)</f>
        <v>0</v>
      </c>
      <c r="P9" s="80">
        <f t="shared" ref="P9" si="8">SUM(P7:P8)</f>
        <v>32.57</v>
      </c>
      <c r="Q9" s="80">
        <f>SUM(Q7:Q8)</f>
        <v>5.74</v>
      </c>
      <c r="R9" s="81"/>
      <c r="S9" s="420">
        <f>SUM(S7:S8)</f>
        <v>1476.4699999999998</v>
      </c>
    </row>
    <row r="10" spans="2:20" s="7" customFormat="1" ht="12" x14ac:dyDescent="0.2">
      <c r="B10" s="78">
        <f>D7+0.01</f>
        <v>36870.240000000005</v>
      </c>
      <c r="C10" s="113" t="s">
        <v>11</v>
      </c>
      <c r="D10" s="113">
        <v>55305.35</v>
      </c>
      <c r="E10" s="15" t="s">
        <v>160</v>
      </c>
      <c r="G10" s="53">
        <f>MATRIZ!I144</f>
        <v>669.56</v>
      </c>
      <c r="H10" s="107">
        <f>TRUNC(G10*2%,2)</f>
        <v>13.39</v>
      </c>
      <c r="I10" s="107">
        <f>TRUNC(G10*20%,2)</f>
        <v>133.91</v>
      </c>
      <c r="J10" s="107">
        <f>TRUNC(G10*5%,2)</f>
        <v>33.47</v>
      </c>
      <c r="K10" s="107">
        <f>TRUNC(G10*5%,2)</f>
        <v>33.47</v>
      </c>
      <c r="L10" s="107">
        <f>TRUNC(G10*6%,2)</f>
        <v>40.17</v>
      </c>
      <c r="M10" s="107">
        <f>TRUNC(G10*3%,2)</f>
        <v>20.079999999999998</v>
      </c>
      <c r="N10" s="107">
        <f>MATRIZ!$I$373</f>
        <v>42.28</v>
      </c>
      <c r="O10" s="107">
        <v>0</v>
      </c>
      <c r="P10" s="107">
        <f>MATRIZ!$I$381</f>
        <v>32.57</v>
      </c>
      <c r="Q10" s="107">
        <f>MATRIZ!$I$382</f>
        <v>2.87</v>
      </c>
      <c r="R10" s="107" t="s">
        <v>22</v>
      </c>
      <c r="S10" s="371">
        <f>SUM(G10:Q10)</f>
        <v>1021.77</v>
      </c>
    </row>
    <row r="11" spans="2:20" s="7" customFormat="1" ht="12" x14ac:dyDescent="0.2">
      <c r="B11" s="78"/>
      <c r="C11" s="113"/>
      <c r="D11" s="113"/>
      <c r="E11" s="15" t="s">
        <v>161</v>
      </c>
      <c r="G11" s="53">
        <f>MATRIZ!I144</f>
        <v>669.56</v>
      </c>
      <c r="H11" s="107">
        <f>TRUNC(G11*2%,2)</f>
        <v>13.39</v>
      </c>
      <c r="I11" s="107">
        <f>TRUNC(G11*20%,2)</f>
        <v>133.91</v>
      </c>
      <c r="J11" s="107">
        <f>TRUNC(G11*5%,2)</f>
        <v>33.47</v>
      </c>
      <c r="K11" s="107">
        <f>TRUNC(G11*5%,2)</f>
        <v>33.47</v>
      </c>
      <c r="L11" s="107">
        <f>TRUNC(G11*6%,2)</f>
        <v>40.17</v>
      </c>
      <c r="M11" s="107">
        <f>TRUNC(G11*3%,2)</f>
        <v>20.079999999999998</v>
      </c>
      <c r="N11" s="107">
        <f>MATRIZ!$I$373</f>
        <v>42.28</v>
      </c>
      <c r="O11" s="107">
        <v>0</v>
      </c>
      <c r="P11" s="107" t="s">
        <v>22</v>
      </c>
      <c r="Q11" s="107">
        <f>MATRIZ!$I$382</f>
        <v>2.87</v>
      </c>
      <c r="R11" s="414">
        <v>1</v>
      </c>
      <c r="S11" s="371">
        <f>SUM(G11:Q11)</f>
        <v>989.19999999999993</v>
      </c>
    </row>
    <row r="12" spans="2:20" s="7" customFormat="1" ht="12" x14ac:dyDescent="0.2">
      <c r="B12" s="79"/>
      <c r="C12" s="415"/>
      <c r="D12" s="415"/>
      <c r="E12" s="416" t="s">
        <v>7</v>
      </c>
      <c r="F12" s="417"/>
      <c r="G12" s="80">
        <f>SUM(G10:G11)</f>
        <v>1339.12</v>
      </c>
      <c r="H12" s="80">
        <f>SUM(H10:H11)</f>
        <v>26.78</v>
      </c>
      <c r="I12" s="80">
        <f t="shared" ref="I12" si="9">SUM(I10:I11)</f>
        <v>267.82</v>
      </c>
      <c r="J12" s="80">
        <f t="shared" ref="J12" si="10">SUM(J10:J11)</f>
        <v>66.94</v>
      </c>
      <c r="K12" s="80">
        <f t="shared" ref="K12" si="11">SUM(K10:K11)</f>
        <v>66.94</v>
      </c>
      <c r="L12" s="80">
        <f t="shared" ref="L12" si="12">SUM(L10:L11)</f>
        <v>80.34</v>
      </c>
      <c r="M12" s="80">
        <f t="shared" ref="M12" si="13">SUM(M10:M11)</f>
        <v>40.159999999999997</v>
      </c>
      <c r="N12" s="80">
        <f t="shared" ref="N12" si="14">SUM(N10:N11)</f>
        <v>84.56</v>
      </c>
      <c r="O12" s="80">
        <f t="shared" ref="O12" si="15">SUM(O10:O11)</f>
        <v>0</v>
      </c>
      <c r="P12" s="80">
        <f t="shared" ref="P12" si="16">SUM(P10:P11)</f>
        <v>32.57</v>
      </c>
      <c r="Q12" s="80">
        <f>SUM(Q10:Q11)</f>
        <v>5.74</v>
      </c>
      <c r="R12" s="81"/>
      <c r="S12" s="420">
        <f>SUM(S10:S11)</f>
        <v>2010.9699999999998</v>
      </c>
    </row>
    <row r="13" spans="2:20" s="7" customFormat="1" ht="12" x14ac:dyDescent="0.2">
      <c r="B13" s="78">
        <f>D10+0.01</f>
        <v>55305.36</v>
      </c>
      <c r="C13" s="113" t="s">
        <v>11</v>
      </c>
      <c r="D13" s="113">
        <v>73740.490000000005</v>
      </c>
      <c r="E13" s="15" t="s">
        <v>160</v>
      </c>
      <c r="G13" s="53">
        <f>MATRIZ!I145</f>
        <v>821.15</v>
      </c>
      <c r="H13" s="107">
        <f>TRUNC(G13*2%,2)</f>
        <v>16.420000000000002</v>
      </c>
      <c r="I13" s="107">
        <f>TRUNC(G13*20%,2)</f>
        <v>164.23</v>
      </c>
      <c r="J13" s="107">
        <f>TRUNC(G13*5%,2)</f>
        <v>41.05</v>
      </c>
      <c r="K13" s="107">
        <f>TRUNC(G13*5%,2)</f>
        <v>41.05</v>
      </c>
      <c r="L13" s="107">
        <f>TRUNC(G13*6%,2)</f>
        <v>49.26</v>
      </c>
      <c r="M13" s="107">
        <f>TRUNC(G13*3%,2)</f>
        <v>24.63</v>
      </c>
      <c r="N13" s="107">
        <f>MATRIZ!$I$373</f>
        <v>42.28</v>
      </c>
      <c r="O13" s="107">
        <v>0</v>
      </c>
      <c r="P13" s="107">
        <f>MATRIZ!$I$381</f>
        <v>32.57</v>
      </c>
      <c r="Q13" s="107">
        <f>MATRIZ!$I$382</f>
        <v>2.87</v>
      </c>
      <c r="R13" s="107" t="s">
        <v>22</v>
      </c>
      <c r="S13" s="371">
        <f>SUM(G13:Q13)</f>
        <v>1235.5099999999998</v>
      </c>
    </row>
    <row r="14" spans="2:20" s="7" customFormat="1" ht="12" x14ac:dyDescent="0.2">
      <c r="B14" s="78"/>
      <c r="C14" s="113"/>
      <c r="D14" s="113"/>
      <c r="E14" s="15" t="s">
        <v>161</v>
      </c>
      <c r="G14" s="53">
        <f>MATRIZ!I145</f>
        <v>821.15</v>
      </c>
      <c r="H14" s="107">
        <f>TRUNC(G14*2%,2)</f>
        <v>16.420000000000002</v>
      </c>
      <c r="I14" s="107">
        <f>TRUNC(G14*20%,2)</f>
        <v>164.23</v>
      </c>
      <c r="J14" s="107">
        <f>TRUNC(G14*5%,2)</f>
        <v>41.05</v>
      </c>
      <c r="K14" s="107">
        <f>TRUNC(G14*5%,2)</f>
        <v>41.05</v>
      </c>
      <c r="L14" s="107">
        <f>TRUNC(G14*6%,2)</f>
        <v>49.26</v>
      </c>
      <c r="M14" s="107">
        <f>TRUNC(G14*3%,2)</f>
        <v>24.63</v>
      </c>
      <c r="N14" s="107">
        <f>MATRIZ!$I$373</f>
        <v>42.28</v>
      </c>
      <c r="O14" s="107">
        <v>0</v>
      </c>
      <c r="P14" s="107" t="s">
        <v>22</v>
      </c>
      <c r="Q14" s="107">
        <f>MATRIZ!$I$382</f>
        <v>2.87</v>
      </c>
      <c r="R14" s="414">
        <v>1</v>
      </c>
      <c r="S14" s="371">
        <f>SUM(G14:Q14)</f>
        <v>1202.9399999999998</v>
      </c>
    </row>
    <row r="15" spans="2:20" s="7" customFormat="1" ht="12" x14ac:dyDescent="0.2">
      <c r="B15" s="79"/>
      <c r="C15" s="415"/>
      <c r="D15" s="415"/>
      <c r="E15" s="416" t="s">
        <v>7</v>
      </c>
      <c r="F15" s="417"/>
      <c r="G15" s="80">
        <f>SUM(G13:G14)</f>
        <v>1642.3</v>
      </c>
      <c r="H15" s="80">
        <f>SUM(H13:H14)</f>
        <v>32.840000000000003</v>
      </c>
      <c r="I15" s="80">
        <f t="shared" ref="I15" si="17">SUM(I13:I14)</f>
        <v>328.46</v>
      </c>
      <c r="J15" s="80">
        <f t="shared" ref="J15" si="18">SUM(J13:J14)</f>
        <v>82.1</v>
      </c>
      <c r="K15" s="80">
        <f t="shared" ref="K15" si="19">SUM(K13:K14)</f>
        <v>82.1</v>
      </c>
      <c r="L15" s="80">
        <f t="shared" ref="L15" si="20">SUM(L13:L14)</f>
        <v>98.52</v>
      </c>
      <c r="M15" s="80">
        <f t="shared" ref="M15" si="21">SUM(M13:M14)</f>
        <v>49.26</v>
      </c>
      <c r="N15" s="80">
        <f t="shared" ref="N15" si="22">SUM(N13:N14)</f>
        <v>84.56</v>
      </c>
      <c r="O15" s="80">
        <f t="shared" ref="O15" si="23">SUM(O13:O14)</f>
        <v>0</v>
      </c>
      <c r="P15" s="80">
        <f t="shared" ref="P15" si="24">SUM(P13:P14)</f>
        <v>32.57</v>
      </c>
      <c r="Q15" s="80">
        <f>SUM(Q13:Q14)</f>
        <v>5.74</v>
      </c>
      <c r="R15" s="81"/>
      <c r="S15" s="420">
        <f>SUM(S13:S14)</f>
        <v>2438.4499999999998</v>
      </c>
    </row>
    <row r="16" spans="2:20" s="7" customFormat="1" ht="12" x14ac:dyDescent="0.2">
      <c r="B16" s="78">
        <f>D13+0.01</f>
        <v>73740.5</v>
      </c>
      <c r="C16" s="113" t="s">
        <v>11</v>
      </c>
      <c r="D16" s="113">
        <v>98320.639999999999</v>
      </c>
      <c r="E16" s="15" t="s">
        <v>160</v>
      </c>
      <c r="G16" s="53">
        <f>MATRIZ!I146</f>
        <v>1455.47</v>
      </c>
      <c r="H16" s="107">
        <f>TRUNC(G16*2%,2)</f>
        <v>29.1</v>
      </c>
      <c r="I16" s="107">
        <f>TRUNC(G16*20%,2)</f>
        <v>291.08999999999997</v>
      </c>
      <c r="J16" s="107">
        <f>TRUNC(G16*5%,2)</f>
        <v>72.77</v>
      </c>
      <c r="K16" s="107">
        <f>TRUNC(G16*5%,2)</f>
        <v>72.77</v>
      </c>
      <c r="L16" s="107">
        <f>TRUNC(G16*6%,2)</f>
        <v>87.32</v>
      </c>
      <c r="M16" s="107">
        <f>TRUNC(G16*3%,2)</f>
        <v>43.66</v>
      </c>
      <c r="N16" s="107">
        <f>MATRIZ!$I$373</f>
        <v>42.28</v>
      </c>
      <c r="O16" s="107">
        <v>0</v>
      </c>
      <c r="P16" s="107">
        <f>MATRIZ!$I$381</f>
        <v>32.57</v>
      </c>
      <c r="Q16" s="107">
        <f>MATRIZ!$I$382</f>
        <v>2.87</v>
      </c>
      <c r="R16" s="107" t="s">
        <v>22</v>
      </c>
      <c r="S16" s="371">
        <f>SUM(G16:Q16)</f>
        <v>2129.9</v>
      </c>
    </row>
    <row r="17" spans="2:19" s="7" customFormat="1" ht="12" x14ac:dyDescent="0.2">
      <c r="B17" s="78"/>
      <c r="C17" s="113"/>
      <c r="D17" s="113"/>
      <c r="E17" s="15" t="s">
        <v>161</v>
      </c>
      <c r="G17" s="53">
        <f>MATRIZ!I146</f>
        <v>1455.47</v>
      </c>
      <c r="H17" s="107">
        <f>TRUNC(G17*2%,2)</f>
        <v>29.1</v>
      </c>
      <c r="I17" s="107">
        <f>TRUNC(G17*20%,2)</f>
        <v>291.08999999999997</v>
      </c>
      <c r="J17" s="107">
        <f>TRUNC(G17*5%,2)</f>
        <v>72.77</v>
      </c>
      <c r="K17" s="107">
        <f>TRUNC(G17*5%,2)</f>
        <v>72.77</v>
      </c>
      <c r="L17" s="107">
        <f>TRUNC(G17*6%,2)</f>
        <v>87.32</v>
      </c>
      <c r="M17" s="107">
        <f>TRUNC(G17*3%,2)</f>
        <v>43.66</v>
      </c>
      <c r="N17" s="107">
        <f>MATRIZ!$I$373</f>
        <v>42.28</v>
      </c>
      <c r="O17" s="107">
        <v>0</v>
      </c>
      <c r="P17" s="107" t="s">
        <v>22</v>
      </c>
      <c r="Q17" s="107">
        <f>MATRIZ!$I$382</f>
        <v>2.87</v>
      </c>
      <c r="R17" s="414">
        <v>1</v>
      </c>
      <c r="S17" s="371">
        <f>SUM(G17:Q17)</f>
        <v>2097.33</v>
      </c>
    </row>
    <row r="18" spans="2:19" s="7" customFormat="1" ht="12" x14ac:dyDescent="0.2">
      <c r="B18" s="79"/>
      <c r="C18" s="415"/>
      <c r="D18" s="415"/>
      <c r="E18" s="416" t="s">
        <v>7</v>
      </c>
      <c r="F18" s="417"/>
      <c r="G18" s="80">
        <f>SUM(G16:G17)</f>
        <v>2910.94</v>
      </c>
      <c r="H18" s="80">
        <f>SUM(H16:H17)</f>
        <v>58.2</v>
      </c>
      <c r="I18" s="80">
        <f t="shared" ref="I18" si="25">SUM(I16:I17)</f>
        <v>582.17999999999995</v>
      </c>
      <c r="J18" s="80">
        <f t="shared" ref="J18" si="26">SUM(J16:J17)</f>
        <v>145.54</v>
      </c>
      <c r="K18" s="80">
        <f t="shared" ref="K18" si="27">SUM(K16:K17)</f>
        <v>145.54</v>
      </c>
      <c r="L18" s="80">
        <f t="shared" ref="L18" si="28">SUM(L16:L17)</f>
        <v>174.64</v>
      </c>
      <c r="M18" s="80">
        <f t="shared" ref="M18" si="29">SUM(M16:M17)</f>
        <v>87.32</v>
      </c>
      <c r="N18" s="80">
        <f t="shared" ref="N18" si="30">SUM(N16:N17)</f>
        <v>84.56</v>
      </c>
      <c r="O18" s="80">
        <f t="shared" ref="O18" si="31">SUM(O16:O17)</f>
        <v>0</v>
      </c>
      <c r="P18" s="80">
        <f t="shared" ref="P18" si="32">SUM(P16:P17)</f>
        <v>32.57</v>
      </c>
      <c r="Q18" s="80">
        <f>SUM(Q16:Q17)</f>
        <v>5.74</v>
      </c>
      <c r="R18" s="81"/>
      <c r="S18" s="420">
        <f>SUM(S16:S17)</f>
        <v>4227.2299999999996</v>
      </c>
    </row>
    <row r="19" spans="2:19" s="7" customFormat="1" ht="12" x14ac:dyDescent="0.2">
      <c r="B19" s="78">
        <f>D16+0.01</f>
        <v>98320.65</v>
      </c>
      <c r="C19" s="113" t="s">
        <v>11</v>
      </c>
      <c r="D19" s="113">
        <v>122900.81</v>
      </c>
      <c r="E19" s="15" t="s">
        <v>160</v>
      </c>
      <c r="G19" s="53">
        <f>MATRIZ!I147</f>
        <v>1718.27</v>
      </c>
      <c r="H19" s="107">
        <f>TRUNC(G19*2%,2)</f>
        <v>34.36</v>
      </c>
      <c r="I19" s="107">
        <f>TRUNC(G19*20%,2)</f>
        <v>343.65</v>
      </c>
      <c r="J19" s="107">
        <f>TRUNC(G19*5%,2)</f>
        <v>85.91</v>
      </c>
      <c r="K19" s="107">
        <f>TRUNC(G19*5%,2)</f>
        <v>85.91</v>
      </c>
      <c r="L19" s="107">
        <f>TRUNC(G19*6%,2)</f>
        <v>103.09</v>
      </c>
      <c r="M19" s="107">
        <f>TRUNC(G19*3%,2)</f>
        <v>51.54</v>
      </c>
      <c r="N19" s="107">
        <f>MATRIZ!$I$373</f>
        <v>42.28</v>
      </c>
      <c r="O19" s="107">
        <v>0</v>
      </c>
      <c r="P19" s="107">
        <f>MATRIZ!$I$381</f>
        <v>32.57</v>
      </c>
      <c r="Q19" s="107">
        <f>MATRIZ!$I$382</f>
        <v>2.87</v>
      </c>
      <c r="R19" s="107" t="s">
        <v>22</v>
      </c>
      <c r="S19" s="371">
        <f>SUM(G19:Q19)</f>
        <v>2500.4499999999998</v>
      </c>
    </row>
    <row r="20" spans="2:19" s="7" customFormat="1" ht="12" x14ac:dyDescent="0.2">
      <c r="B20" s="78"/>
      <c r="C20" s="113"/>
      <c r="D20" s="113"/>
      <c r="E20" s="15" t="s">
        <v>161</v>
      </c>
      <c r="G20" s="53">
        <f>MATRIZ!I147</f>
        <v>1718.27</v>
      </c>
      <c r="H20" s="107">
        <f>TRUNC(G20*2%,2)</f>
        <v>34.36</v>
      </c>
      <c r="I20" s="107">
        <f>TRUNC(G20*20%,2)</f>
        <v>343.65</v>
      </c>
      <c r="J20" s="107">
        <f>TRUNC(G20*5%,2)</f>
        <v>85.91</v>
      </c>
      <c r="K20" s="107">
        <f>TRUNC(G20*5%,2)</f>
        <v>85.91</v>
      </c>
      <c r="L20" s="107">
        <f>TRUNC(G20*6%,2)</f>
        <v>103.09</v>
      </c>
      <c r="M20" s="107">
        <f>TRUNC(G20*3%,2)</f>
        <v>51.54</v>
      </c>
      <c r="N20" s="107">
        <f>MATRIZ!$I$373</f>
        <v>42.28</v>
      </c>
      <c r="O20" s="107">
        <v>0</v>
      </c>
      <c r="P20" s="107" t="s">
        <v>22</v>
      </c>
      <c r="Q20" s="107">
        <f>MATRIZ!$I$382</f>
        <v>2.87</v>
      </c>
      <c r="R20" s="414">
        <v>1</v>
      </c>
      <c r="S20" s="371">
        <f>SUM(G20:Q20)</f>
        <v>2467.8799999999997</v>
      </c>
    </row>
    <row r="21" spans="2:19" s="7" customFormat="1" ht="12" x14ac:dyDescent="0.2">
      <c r="B21" s="79"/>
      <c r="C21" s="415"/>
      <c r="D21" s="415"/>
      <c r="E21" s="416" t="s">
        <v>7</v>
      </c>
      <c r="F21" s="417"/>
      <c r="G21" s="80">
        <f>SUM(G19:G20)</f>
        <v>3436.54</v>
      </c>
      <c r="H21" s="80">
        <f>SUM(H19:H20)</f>
        <v>68.72</v>
      </c>
      <c r="I21" s="80">
        <f t="shared" ref="I21" si="33">SUM(I19:I20)</f>
        <v>687.3</v>
      </c>
      <c r="J21" s="80">
        <f t="shared" ref="J21" si="34">SUM(J19:J20)</f>
        <v>171.82</v>
      </c>
      <c r="K21" s="80">
        <f t="shared" ref="K21" si="35">SUM(K19:K20)</f>
        <v>171.82</v>
      </c>
      <c r="L21" s="80">
        <f t="shared" ref="L21" si="36">SUM(L19:L20)</f>
        <v>206.18</v>
      </c>
      <c r="M21" s="80">
        <f t="shared" ref="M21" si="37">SUM(M19:M20)</f>
        <v>103.08</v>
      </c>
      <c r="N21" s="80">
        <f t="shared" ref="N21" si="38">SUM(N19:N20)</f>
        <v>84.56</v>
      </c>
      <c r="O21" s="80">
        <f t="shared" ref="O21" si="39">SUM(O19:O20)</f>
        <v>0</v>
      </c>
      <c r="P21" s="80">
        <f t="shared" ref="P21" si="40">SUM(P19:P20)</f>
        <v>32.57</v>
      </c>
      <c r="Q21" s="80">
        <f>SUM(Q19:Q20)</f>
        <v>5.74</v>
      </c>
      <c r="R21" s="81"/>
      <c r="S21" s="420">
        <f>SUM(S19:S20)</f>
        <v>4968.33</v>
      </c>
    </row>
    <row r="22" spans="2:19" s="7" customFormat="1" ht="12" x14ac:dyDescent="0.2">
      <c r="B22" s="78">
        <f>D19+0.01</f>
        <v>122900.81999999999</v>
      </c>
      <c r="C22" s="113" t="s">
        <v>11</v>
      </c>
      <c r="D22" s="113">
        <v>245801.64</v>
      </c>
      <c r="E22" s="15" t="s">
        <v>160</v>
      </c>
      <c r="G22" s="53">
        <f>MATRIZ!I148</f>
        <v>2324.7199999999998</v>
      </c>
      <c r="H22" s="107">
        <f>TRUNC(G22*2%,2)</f>
        <v>46.49</v>
      </c>
      <c r="I22" s="107">
        <f>TRUNC(G22*20%,2)</f>
        <v>464.94</v>
      </c>
      <c r="J22" s="107">
        <f>TRUNC(G22*5%,2)</f>
        <v>116.23</v>
      </c>
      <c r="K22" s="107">
        <f>TRUNC(G22*5%,2)</f>
        <v>116.23</v>
      </c>
      <c r="L22" s="107">
        <f>TRUNC(G22*6%,2)</f>
        <v>139.47999999999999</v>
      </c>
      <c r="M22" s="107">
        <f>TRUNC(G22*3%,2)</f>
        <v>69.739999999999995</v>
      </c>
      <c r="N22" s="107">
        <f>MATRIZ!$I$373</f>
        <v>42.28</v>
      </c>
      <c r="O22" s="107">
        <v>0</v>
      </c>
      <c r="P22" s="107">
        <f>MATRIZ!$I$381</f>
        <v>32.57</v>
      </c>
      <c r="Q22" s="107">
        <f>MATRIZ!$I$382</f>
        <v>2.87</v>
      </c>
      <c r="R22" s="107" t="s">
        <v>22</v>
      </c>
      <c r="S22" s="371">
        <f>SUM(G22:Q22)</f>
        <v>3355.5499999999997</v>
      </c>
    </row>
    <row r="23" spans="2:19" s="7" customFormat="1" ht="12" x14ac:dyDescent="0.2">
      <c r="B23" s="78"/>
      <c r="C23" s="113"/>
      <c r="D23" s="113"/>
      <c r="E23" s="15" t="s">
        <v>161</v>
      </c>
      <c r="G23" s="53">
        <f>MATRIZ!I148</f>
        <v>2324.7199999999998</v>
      </c>
      <c r="H23" s="107">
        <f>TRUNC(G23*2%,2)</f>
        <v>46.49</v>
      </c>
      <c r="I23" s="107">
        <f>TRUNC(G23*20%,2)</f>
        <v>464.94</v>
      </c>
      <c r="J23" s="107">
        <f>TRUNC(G23*5%,2)</f>
        <v>116.23</v>
      </c>
      <c r="K23" s="107">
        <f>TRUNC(G23*5%,2)</f>
        <v>116.23</v>
      </c>
      <c r="L23" s="107">
        <f>TRUNC(G23*6%,2)</f>
        <v>139.47999999999999</v>
      </c>
      <c r="M23" s="107">
        <f>TRUNC(G23*3%,2)</f>
        <v>69.739999999999995</v>
      </c>
      <c r="N23" s="107">
        <f>MATRIZ!$I$373</f>
        <v>42.28</v>
      </c>
      <c r="O23" s="107">
        <v>0</v>
      </c>
      <c r="P23" s="107" t="s">
        <v>22</v>
      </c>
      <c r="Q23" s="107">
        <f>MATRIZ!$I$382</f>
        <v>2.87</v>
      </c>
      <c r="R23" s="414">
        <v>1</v>
      </c>
      <c r="S23" s="371">
        <f>SUM(G23:Q23)</f>
        <v>3322.9799999999996</v>
      </c>
    </row>
    <row r="24" spans="2:19" s="7" customFormat="1" ht="12" x14ac:dyDescent="0.2">
      <c r="B24" s="79"/>
      <c r="C24" s="415"/>
      <c r="D24" s="415"/>
      <c r="E24" s="416" t="s">
        <v>7</v>
      </c>
      <c r="F24" s="417"/>
      <c r="G24" s="80">
        <f>SUM(G22:G23)</f>
        <v>4649.4399999999996</v>
      </c>
      <c r="H24" s="80">
        <f>SUM(H22:H23)</f>
        <v>92.98</v>
      </c>
      <c r="I24" s="80">
        <f t="shared" ref="I24" si="41">SUM(I22:I23)</f>
        <v>929.88</v>
      </c>
      <c r="J24" s="80">
        <f t="shared" ref="J24" si="42">SUM(J22:J23)</f>
        <v>232.46</v>
      </c>
      <c r="K24" s="80">
        <f t="shared" ref="K24" si="43">SUM(K22:K23)</f>
        <v>232.46</v>
      </c>
      <c r="L24" s="80">
        <f t="shared" ref="L24" si="44">SUM(L22:L23)</f>
        <v>278.95999999999998</v>
      </c>
      <c r="M24" s="80">
        <f t="shared" ref="M24" si="45">SUM(M22:M23)</f>
        <v>139.47999999999999</v>
      </c>
      <c r="N24" s="80">
        <f t="shared" ref="N24" si="46">SUM(N22:N23)</f>
        <v>84.56</v>
      </c>
      <c r="O24" s="80">
        <f t="shared" ref="O24" si="47">SUM(O22:O23)</f>
        <v>0</v>
      </c>
      <c r="P24" s="80">
        <f t="shared" ref="P24" si="48">SUM(P22:P23)</f>
        <v>32.57</v>
      </c>
      <c r="Q24" s="80">
        <f>SUM(Q22:Q23)</f>
        <v>5.74</v>
      </c>
      <c r="R24" s="81"/>
      <c r="S24" s="420">
        <f>SUM(S22:S23)</f>
        <v>6678.5299999999988</v>
      </c>
    </row>
    <row r="25" spans="2:19" s="7" customFormat="1" ht="12" x14ac:dyDescent="0.2">
      <c r="B25" s="78">
        <f>D22+0.01</f>
        <v>245801.65000000002</v>
      </c>
      <c r="C25" s="113" t="s">
        <v>11</v>
      </c>
      <c r="D25" s="113">
        <v>491603.3</v>
      </c>
      <c r="E25" s="15" t="s">
        <v>160</v>
      </c>
      <c r="G25" s="53">
        <f>MATRIZ!I149</f>
        <v>2494.48</v>
      </c>
      <c r="H25" s="107">
        <f>TRUNC(G25*2%,2)</f>
        <v>49.88</v>
      </c>
      <c r="I25" s="107">
        <f>TRUNC(G25*20%,2)</f>
        <v>498.89</v>
      </c>
      <c r="J25" s="107">
        <f>TRUNC(G25*5%,2)</f>
        <v>124.72</v>
      </c>
      <c r="K25" s="107">
        <f>TRUNC(G25*5%,2)</f>
        <v>124.72</v>
      </c>
      <c r="L25" s="107">
        <f>TRUNC(G25*6%,2)</f>
        <v>149.66</v>
      </c>
      <c r="M25" s="107">
        <f>TRUNC(G25*3%,2)</f>
        <v>74.83</v>
      </c>
      <c r="N25" s="107">
        <f>MATRIZ!$I$373</f>
        <v>42.28</v>
      </c>
      <c r="O25" s="107">
        <v>0</v>
      </c>
      <c r="P25" s="107">
        <f>MATRIZ!$I$381</f>
        <v>32.57</v>
      </c>
      <c r="Q25" s="107">
        <f>MATRIZ!$I$382</f>
        <v>2.87</v>
      </c>
      <c r="R25" s="107" t="s">
        <v>22</v>
      </c>
      <c r="S25" s="371">
        <f>SUM(G25:Q25)</f>
        <v>3594.8999999999996</v>
      </c>
    </row>
    <row r="26" spans="2:19" s="7" customFormat="1" ht="12" x14ac:dyDescent="0.2">
      <c r="B26" s="78"/>
      <c r="C26" s="113"/>
      <c r="D26" s="113"/>
      <c r="E26" s="15" t="s">
        <v>161</v>
      </c>
      <c r="G26" s="53">
        <f>MATRIZ!I149</f>
        <v>2494.48</v>
      </c>
      <c r="H26" s="107">
        <f>TRUNC(G26*2%,2)</f>
        <v>49.88</v>
      </c>
      <c r="I26" s="107">
        <f>TRUNC(G26*20%,2)</f>
        <v>498.89</v>
      </c>
      <c r="J26" s="107">
        <f>TRUNC(G26*5%,2)</f>
        <v>124.72</v>
      </c>
      <c r="K26" s="107">
        <f>TRUNC(G26*5%,2)</f>
        <v>124.72</v>
      </c>
      <c r="L26" s="107">
        <f>TRUNC(G26*6%,2)</f>
        <v>149.66</v>
      </c>
      <c r="M26" s="107">
        <f>TRUNC(G26*3%,2)</f>
        <v>74.83</v>
      </c>
      <c r="N26" s="107">
        <f>MATRIZ!$I$373</f>
        <v>42.28</v>
      </c>
      <c r="O26" s="107">
        <v>0</v>
      </c>
      <c r="P26" s="107" t="s">
        <v>22</v>
      </c>
      <c r="Q26" s="107">
        <f>MATRIZ!$I$382</f>
        <v>2.87</v>
      </c>
      <c r="R26" s="414">
        <v>1</v>
      </c>
      <c r="S26" s="371">
        <f>SUM(G26:Q26)</f>
        <v>3562.3299999999995</v>
      </c>
    </row>
    <row r="27" spans="2:19" s="7" customFormat="1" ht="12" x14ac:dyDescent="0.2">
      <c r="B27" s="79"/>
      <c r="C27" s="415"/>
      <c r="D27" s="415"/>
      <c r="E27" s="416" t="s">
        <v>7</v>
      </c>
      <c r="F27" s="417"/>
      <c r="G27" s="80">
        <f>SUM(G25:G26)</f>
        <v>4988.96</v>
      </c>
      <c r="H27" s="80">
        <f>SUM(H25:H26)</f>
        <v>99.76</v>
      </c>
      <c r="I27" s="80">
        <f t="shared" ref="I27" si="49">SUM(I25:I26)</f>
        <v>997.78</v>
      </c>
      <c r="J27" s="80">
        <f t="shared" ref="J27" si="50">SUM(J25:J26)</f>
        <v>249.44</v>
      </c>
      <c r="K27" s="80">
        <f t="shared" ref="K27" si="51">SUM(K25:K26)</f>
        <v>249.44</v>
      </c>
      <c r="L27" s="80">
        <f t="shared" ref="L27" si="52">SUM(L25:L26)</f>
        <v>299.32</v>
      </c>
      <c r="M27" s="80">
        <f t="shared" ref="M27" si="53">SUM(M25:M26)</f>
        <v>149.66</v>
      </c>
      <c r="N27" s="80">
        <f t="shared" ref="N27" si="54">SUM(N25:N26)</f>
        <v>84.56</v>
      </c>
      <c r="O27" s="80">
        <f t="shared" ref="O27" si="55">SUM(O25:O26)</f>
        <v>0</v>
      </c>
      <c r="P27" s="80">
        <f t="shared" ref="P27" si="56">SUM(P25:P26)</f>
        <v>32.57</v>
      </c>
      <c r="Q27" s="80">
        <f>SUM(Q25:Q26)</f>
        <v>5.74</v>
      </c>
      <c r="R27" s="81"/>
      <c r="S27" s="420">
        <f>SUM(S25:S26)</f>
        <v>7157.23</v>
      </c>
    </row>
    <row r="28" spans="2:19" ht="12.75" customHeight="1" x14ac:dyDescent="0.2">
      <c r="B28" s="847" t="s">
        <v>655</v>
      </c>
      <c r="C28" s="848"/>
      <c r="D28" s="848"/>
      <c r="E28" s="848"/>
      <c r="F28" s="848"/>
      <c r="G28" s="333">
        <f>MATRIZ!I150</f>
        <v>220.93</v>
      </c>
      <c r="H28" s="107">
        <f>TRUNC(G28*2%,2)</f>
        <v>4.41</v>
      </c>
      <c r="I28" s="107">
        <f>TRUNC(G28*20%,2)</f>
        <v>44.18</v>
      </c>
      <c r="J28" s="107">
        <f>TRUNC(G28*5%,2)</f>
        <v>11.04</v>
      </c>
      <c r="K28" s="107">
        <f>TRUNC(G28*5%,2)</f>
        <v>11.04</v>
      </c>
      <c r="L28" s="107">
        <f>TRUNC(G28*6%,2)</f>
        <v>13.25</v>
      </c>
      <c r="M28" s="107">
        <f>TRUNC(G28*3%,2)</f>
        <v>6.62</v>
      </c>
      <c r="N28" s="83"/>
      <c r="O28" s="83"/>
      <c r="P28" s="84"/>
      <c r="Q28" s="408"/>
      <c r="R28" s="84"/>
      <c r="S28" s="371">
        <f>SUM(G28:Q28)</f>
        <v>311.47000000000003</v>
      </c>
    </row>
    <row r="29" spans="2:19" ht="9.75" customHeight="1" thickBot="1" x14ac:dyDescent="0.25">
      <c r="B29" s="411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09"/>
      <c r="P29" s="409"/>
      <c r="Q29" s="409"/>
      <c r="R29" s="409"/>
      <c r="S29" s="410"/>
    </row>
    <row r="30" spans="2:19" s="7" customFormat="1" ht="28.5" customHeight="1" x14ac:dyDescent="0.2">
      <c r="B30" s="855" t="s">
        <v>507</v>
      </c>
      <c r="C30" s="856"/>
      <c r="D30" s="856"/>
      <c r="E30" s="856"/>
      <c r="F30" s="857"/>
      <c r="G30" s="839" t="s">
        <v>45</v>
      </c>
      <c r="H30" s="75">
        <v>0.02</v>
      </c>
      <c r="I30" s="75">
        <v>0.2</v>
      </c>
      <c r="J30" s="75">
        <v>0.05</v>
      </c>
      <c r="K30" s="75">
        <v>0.05</v>
      </c>
      <c r="L30" s="75">
        <v>0.06</v>
      </c>
      <c r="M30" s="75">
        <v>0.03</v>
      </c>
      <c r="N30" s="843" t="s">
        <v>36</v>
      </c>
      <c r="O30" s="844"/>
      <c r="P30" s="845" t="s">
        <v>106</v>
      </c>
      <c r="Q30" s="845" t="s">
        <v>6</v>
      </c>
      <c r="R30" s="845" t="s">
        <v>158</v>
      </c>
      <c r="S30" s="846" t="s">
        <v>7</v>
      </c>
    </row>
    <row r="31" spans="2:19" s="7" customFormat="1" ht="15.75" customHeight="1" x14ac:dyDescent="0.2">
      <c r="B31" s="76" t="s">
        <v>49</v>
      </c>
      <c r="C31" s="412"/>
      <c r="D31" s="412" t="s">
        <v>50</v>
      </c>
      <c r="E31" s="413"/>
      <c r="F31" s="77"/>
      <c r="G31" s="840"/>
      <c r="H31" s="50" t="s">
        <v>107</v>
      </c>
      <c r="I31" s="325" t="s">
        <v>108</v>
      </c>
      <c r="J31" s="50" t="s">
        <v>109</v>
      </c>
      <c r="K31" s="50" t="s">
        <v>43</v>
      </c>
      <c r="L31" s="50" t="s">
        <v>44</v>
      </c>
      <c r="M31" s="314" t="s">
        <v>157</v>
      </c>
      <c r="N31" s="326" t="s">
        <v>55</v>
      </c>
      <c r="O31" s="326" t="s">
        <v>159</v>
      </c>
      <c r="P31" s="785"/>
      <c r="Q31" s="785"/>
      <c r="R31" s="785"/>
      <c r="S31" s="771"/>
    </row>
    <row r="32" spans="2:19" s="7" customFormat="1" ht="12.75" customHeight="1" x14ac:dyDescent="0.2">
      <c r="B32" s="78">
        <v>0.01</v>
      </c>
      <c r="C32" s="113" t="s">
        <v>11</v>
      </c>
      <c r="D32" s="113">
        <v>18435.099999999999</v>
      </c>
      <c r="E32" s="7" t="s">
        <v>162</v>
      </c>
      <c r="G32" s="327">
        <f>MATRIZ!I142</f>
        <v>290.48</v>
      </c>
      <c r="H32" s="423">
        <f>TRUNC(G32*2%,2)</f>
        <v>5.8</v>
      </c>
      <c r="I32" s="423">
        <f>TRUNC(G32*20%,2)</f>
        <v>58.09</v>
      </c>
      <c r="J32" s="423">
        <f>TRUNC(G32*5%,2)</f>
        <v>14.52</v>
      </c>
      <c r="K32" s="423">
        <f>TRUNC(G32*5%,2)</f>
        <v>14.52</v>
      </c>
      <c r="L32" s="423">
        <f>TRUNC(G32*6%,2)</f>
        <v>17.420000000000002</v>
      </c>
      <c r="M32" s="423">
        <f>TRUNC(G32*3%,2)</f>
        <v>8.7100000000000009</v>
      </c>
      <c r="N32" s="423">
        <f>MATRIZ!$I$373</f>
        <v>42.28</v>
      </c>
      <c r="O32" s="423">
        <v>0</v>
      </c>
      <c r="P32" s="423">
        <f>MATRIZ!$I$381</f>
        <v>32.57</v>
      </c>
      <c r="Q32" s="423">
        <f>MATRIZ!$I$382</f>
        <v>2.87</v>
      </c>
      <c r="R32" s="107" t="s">
        <v>22</v>
      </c>
      <c r="S32" s="371">
        <f>SUM(G32:Q32)</f>
        <v>487.25999999999993</v>
      </c>
    </row>
    <row r="33" spans="2:19" s="7" customFormat="1" ht="12" x14ac:dyDescent="0.2">
      <c r="B33" s="85"/>
      <c r="C33" s="418"/>
      <c r="D33" s="113"/>
      <c r="E33" s="7" t="s">
        <v>163</v>
      </c>
      <c r="F33" s="418"/>
      <c r="G33" s="327">
        <f>MATRIZ!$I$160</f>
        <v>185.01</v>
      </c>
      <c r="H33" s="423">
        <f>TRUNC(G33*2%,2)</f>
        <v>3.7</v>
      </c>
      <c r="I33" s="423">
        <f>TRUNC(G33*20%,2)</f>
        <v>37</v>
      </c>
      <c r="J33" s="423">
        <f>TRUNC(G33*5%,2)</f>
        <v>9.25</v>
      </c>
      <c r="K33" s="423">
        <f>TRUNC(G33*5%,2)</f>
        <v>9.25</v>
      </c>
      <c r="L33" s="423">
        <f>TRUNC(G33*6%,2)</f>
        <v>11.1</v>
      </c>
      <c r="M33" s="423">
        <f>TRUNC(G33*3%,2)</f>
        <v>5.55</v>
      </c>
      <c r="N33" s="423">
        <f>MATRIZ!$I$373</f>
        <v>42.28</v>
      </c>
      <c r="O33" s="423">
        <v>0</v>
      </c>
      <c r="P33" s="423" t="s">
        <v>22</v>
      </c>
      <c r="Q33" s="423">
        <f>MATRIZ!$I$382</f>
        <v>2.87</v>
      </c>
      <c r="R33" s="414">
        <v>1</v>
      </c>
      <c r="S33" s="371">
        <f>SUM(G33:Q33)</f>
        <v>306.01</v>
      </c>
    </row>
    <row r="34" spans="2:19" s="7" customFormat="1" ht="12" x14ac:dyDescent="0.2">
      <c r="B34" s="79"/>
      <c r="C34" s="415"/>
      <c r="D34" s="415"/>
      <c r="E34" s="416" t="s">
        <v>7</v>
      </c>
      <c r="F34" s="417"/>
      <c r="G34" s="82">
        <f t="shared" ref="G34:Q34" si="57">SUM(G32:G33)</f>
        <v>475.49</v>
      </c>
      <c r="H34" s="420">
        <f t="shared" si="57"/>
        <v>9.5</v>
      </c>
      <c r="I34" s="420">
        <f t="shared" si="57"/>
        <v>95.09</v>
      </c>
      <c r="J34" s="420">
        <f t="shared" si="57"/>
        <v>23.77</v>
      </c>
      <c r="K34" s="420">
        <f t="shared" si="57"/>
        <v>23.77</v>
      </c>
      <c r="L34" s="420">
        <f t="shared" si="57"/>
        <v>28.520000000000003</v>
      </c>
      <c r="M34" s="420">
        <f t="shared" si="57"/>
        <v>14.260000000000002</v>
      </c>
      <c r="N34" s="420">
        <f t="shared" si="57"/>
        <v>84.56</v>
      </c>
      <c r="O34" s="420">
        <f t="shared" si="57"/>
        <v>0</v>
      </c>
      <c r="P34" s="420">
        <f t="shared" si="57"/>
        <v>32.57</v>
      </c>
      <c r="Q34" s="420">
        <f t="shared" si="57"/>
        <v>5.74</v>
      </c>
      <c r="R34" s="81"/>
      <c r="S34" s="420">
        <f>SUM(S32:S33)</f>
        <v>793.27</v>
      </c>
    </row>
    <row r="35" spans="2:19" s="7" customFormat="1" ht="12" x14ac:dyDescent="0.2">
      <c r="B35" s="78">
        <f>D32+0.01</f>
        <v>18435.109999999997</v>
      </c>
      <c r="C35" s="113" t="s">
        <v>11</v>
      </c>
      <c r="D35" s="113">
        <v>36870.230000000003</v>
      </c>
      <c r="E35" s="7" t="s">
        <v>162</v>
      </c>
      <c r="G35" s="53">
        <f>MATRIZ!I143</f>
        <v>480</v>
      </c>
      <c r="H35" s="423">
        <f>TRUNC(G35*2%,2)</f>
        <v>9.6</v>
      </c>
      <c r="I35" s="423">
        <f>TRUNC(G35*20%,2)</f>
        <v>96</v>
      </c>
      <c r="J35" s="423">
        <f>TRUNC(G35*5%,2)</f>
        <v>24</v>
      </c>
      <c r="K35" s="423">
        <f>TRUNC(G35*5%,2)</f>
        <v>24</v>
      </c>
      <c r="L35" s="423">
        <f>TRUNC(G35*6%,2)</f>
        <v>28.8</v>
      </c>
      <c r="M35" s="423">
        <f>TRUNC(G35*3%,2)</f>
        <v>14.4</v>
      </c>
      <c r="N35" s="423">
        <f>MATRIZ!$I$373</f>
        <v>42.28</v>
      </c>
      <c r="O35" s="423">
        <v>0</v>
      </c>
      <c r="P35" s="423">
        <f>MATRIZ!$I$381</f>
        <v>32.57</v>
      </c>
      <c r="Q35" s="423">
        <f>MATRIZ!$I$382</f>
        <v>2.87</v>
      </c>
      <c r="R35" s="107" t="s">
        <v>22</v>
      </c>
      <c r="S35" s="371">
        <f>SUM(G35:Q35)</f>
        <v>754.52</v>
      </c>
    </row>
    <row r="36" spans="2:19" s="7" customFormat="1" ht="12" x14ac:dyDescent="0.2">
      <c r="B36" s="85"/>
      <c r="C36" s="418"/>
      <c r="D36" s="113"/>
      <c r="E36" s="7" t="s">
        <v>163</v>
      </c>
      <c r="F36" s="418"/>
      <c r="G36" s="327">
        <f>MATRIZ!$I$160</f>
        <v>185.01</v>
      </c>
      <c r="H36" s="423">
        <f>TRUNC(G36*2%,2)</f>
        <v>3.7</v>
      </c>
      <c r="I36" s="423">
        <f>TRUNC(G36*20%,2)</f>
        <v>37</v>
      </c>
      <c r="J36" s="423">
        <f>TRUNC(G36*5%,2)</f>
        <v>9.25</v>
      </c>
      <c r="K36" s="423">
        <f>TRUNC(G36*5%,2)</f>
        <v>9.25</v>
      </c>
      <c r="L36" s="423">
        <f>TRUNC(G36*6%,2)</f>
        <v>11.1</v>
      </c>
      <c r="M36" s="423">
        <f>TRUNC(G36*3%,2)</f>
        <v>5.55</v>
      </c>
      <c r="N36" s="423">
        <f>MATRIZ!$I$373</f>
        <v>42.28</v>
      </c>
      <c r="O36" s="423">
        <v>0</v>
      </c>
      <c r="P36" s="423" t="s">
        <v>22</v>
      </c>
      <c r="Q36" s="423">
        <f>MATRIZ!$I$382</f>
        <v>2.87</v>
      </c>
      <c r="R36" s="414">
        <v>1</v>
      </c>
      <c r="S36" s="371">
        <f>SUM(G36:Q36)</f>
        <v>306.01</v>
      </c>
    </row>
    <row r="37" spans="2:19" s="7" customFormat="1" ht="12" x14ac:dyDescent="0.2">
      <c r="B37" s="79"/>
      <c r="C37" s="415"/>
      <c r="D37" s="415"/>
      <c r="E37" s="416" t="s">
        <v>7</v>
      </c>
      <c r="F37" s="417"/>
      <c r="G37" s="82">
        <f t="shared" ref="G37:Q37" si="58">SUM(G35:G36)</f>
        <v>665.01</v>
      </c>
      <c r="H37" s="420">
        <f t="shared" si="58"/>
        <v>13.3</v>
      </c>
      <c r="I37" s="420">
        <f t="shared" si="58"/>
        <v>133</v>
      </c>
      <c r="J37" s="420">
        <f t="shared" si="58"/>
        <v>33.25</v>
      </c>
      <c r="K37" s="420">
        <f t="shared" si="58"/>
        <v>33.25</v>
      </c>
      <c r="L37" s="420">
        <f t="shared" si="58"/>
        <v>39.9</v>
      </c>
      <c r="M37" s="420">
        <f t="shared" si="58"/>
        <v>19.95</v>
      </c>
      <c r="N37" s="420">
        <f t="shared" si="58"/>
        <v>84.56</v>
      </c>
      <c r="O37" s="420">
        <f t="shared" si="58"/>
        <v>0</v>
      </c>
      <c r="P37" s="420">
        <f t="shared" si="58"/>
        <v>32.57</v>
      </c>
      <c r="Q37" s="420">
        <f t="shared" si="58"/>
        <v>5.74</v>
      </c>
      <c r="R37" s="81"/>
      <c r="S37" s="420">
        <f>SUM(S35:S36)</f>
        <v>1060.53</v>
      </c>
    </row>
    <row r="38" spans="2:19" s="7" customFormat="1" ht="12" x14ac:dyDescent="0.2">
      <c r="B38" s="78">
        <f>D35+0.01</f>
        <v>36870.240000000005</v>
      </c>
      <c r="C38" s="113" t="s">
        <v>11</v>
      </c>
      <c r="D38" s="113">
        <v>55305.35</v>
      </c>
      <c r="E38" s="7" t="s">
        <v>162</v>
      </c>
      <c r="G38" s="53">
        <f>MATRIZ!I144</f>
        <v>669.56</v>
      </c>
      <c r="H38" s="423">
        <f>TRUNC(G38*2%,2)</f>
        <v>13.39</v>
      </c>
      <c r="I38" s="423">
        <f>TRUNC(G38*20%,2)</f>
        <v>133.91</v>
      </c>
      <c r="J38" s="423">
        <f>TRUNC(G38*5%,2)</f>
        <v>33.47</v>
      </c>
      <c r="K38" s="423">
        <f>TRUNC(G38*5%,2)</f>
        <v>33.47</v>
      </c>
      <c r="L38" s="423">
        <f>TRUNC(G38*6%,2)</f>
        <v>40.17</v>
      </c>
      <c r="M38" s="423">
        <f>TRUNC(G38*3%,2)</f>
        <v>20.079999999999998</v>
      </c>
      <c r="N38" s="423">
        <f>MATRIZ!$I$373</f>
        <v>42.28</v>
      </c>
      <c r="O38" s="423">
        <v>0</v>
      </c>
      <c r="P38" s="423">
        <f>MATRIZ!$I$381</f>
        <v>32.57</v>
      </c>
      <c r="Q38" s="423">
        <f>MATRIZ!$I$382</f>
        <v>2.87</v>
      </c>
      <c r="R38" s="107" t="s">
        <v>22</v>
      </c>
      <c r="S38" s="371">
        <f>SUM(G38:Q38)</f>
        <v>1021.77</v>
      </c>
    </row>
    <row r="39" spans="2:19" s="7" customFormat="1" ht="12" x14ac:dyDescent="0.2">
      <c r="B39" s="85"/>
      <c r="C39" s="418"/>
      <c r="D39" s="113"/>
      <c r="E39" s="7" t="s">
        <v>163</v>
      </c>
      <c r="F39" s="418"/>
      <c r="G39" s="327">
        <f>MATRIZ!$I$160</f>
        <v>185.01</v>
      </c>
      <c r="H39" s="423">
        <f>TRUNC(G39*2%,2)</f>
        <v>3.7</v>
      </c>
      <c r="I39" s="423">
        <f>TRUNC(G39*20%,2)</f>
        <v>37</v>
      </c>
      <c r="J39" s="423">
        <f>TRUNC(G39*5%,2)</f>
        <v>9.25</v>
      </c>
      <c r="K39" s="423">
        <f>TRUNC(G39*5%,2)</f>
        <v>9.25</v>
      </c>
      <c r="L39" s="423">
        <f>TRUNC(G39*6%,2)</f>
        <v>11.1</v>
      </c>
      <c r="M39" s="423">
        <f>TRUNC(G39*3%,2)</f>
        <v>5.55</v>
      </c>
      <c r="N39" s="423">
        <f>MATRIZ!$I$373</f>
        <v>42.28</v>
      </c>
      <c r="O39" s="423">
        <v>0</v>
      </c>
      <c r="P39" s="423" t="s">
        <v>22</v>
      </c>
      <c r="Q39" s="423">
        <f>MATRIZ!$I$382</f>
        <v>2.87</v>
      </c>
      <c r="R39" s="414">
        <v>1</v>
      </c>
      <c r="S39" s="371">
        <f>SUM(G39:Q39)</f>
        <v>306.01</v>
      </c>
    </row>
    <row r="40" spans="2:19" s="7" customFormat="1" ht="12" x14ac:dyDescent="0.2">
      <c r="B40" s="79"/>
      <c r="C40" s="415"/>
      <c r="D40" s="415"/>
      <c r="E40" s="416" t="s">
        <v>7</v>
      </c>
      <c r="F40" s="417"/>
      <c r="G40" s="82">
        <f t="shared" ref="G40:Q40" si="59">SUM(G38:G39)</f>
        <v>854.56999999999994</v>
      </c>
      <c r="H40" s="420">
        <f t="shared" si="59"/>
        <v>17.09</v>
      </c>
      <c r="I40" s="420">
        <f t="shared" si="59"/>
        <v>170.91</v>
      </c>
      <c r="J40" s="420">
        <f t="shared" si="59"/>
        <v>42.72</v>
      </c>
      <c r="K40" s="420">
        <f t="shared" si="59"/>
        <v>42.72</v>
      </c>
      <c r="L40" s="420">
        <f t="shared" si="59"/>
        <v>51.27</v>
      </c>
      <c r="M40" s="420">
        <f t="shared" si="59"/>
        <v>25.63</v>
      </c>
      <c r="N40" s="420">
        <f t="shared" si="59"/>
        <v>84.56</v>
      </c>
      <c r="O40" s="420">
        <f t="shared" si="59"/>
        <v>0</v>
      </c>
      <c r="P40" s="420">
        <f t="shared" si="59"/>
        <v>32.57</v>
      </c>
      <c r="Q40" s="420">
        <f t="shared" si="59"/>
        <v>5.74</v>
      </c>
      <c r="R40" s="81"/>
      <c r="S40" s="420">
        <f>SUM(S38:S39)</f>
        <v>1327.78</v>
      </c>
    </row>
    <row r="41" spans="2:19" s="7" customFormat="1" ht="12" x14ac:dyDescent="0.2">
      <c r="B41" s="78">
        <f>D38+0.01</f>
        <v>55305.36</v>
      </c>
      <c r="C41" s="113" t="s">
        <v>11</v>
      </c>
      <c r="D41" s="113">
        <v>73740.490000000005</v>
      </c>
      <c r="E41" s="7" t="s">
        <v>162</v>
      </c>
      <c r="G41" s="53">
        <f>MATRIZ!I145</f>
        <v>821.15</v>
      </c>
      <c r="H41" s="423">
        <f>TRUNC(G41*2%,2)</f>
        <v>16.420000000000002</v>
      </c>
      <c r="I41" s="423">
        <f>TRUNC(G41*20%,2)</f>
        <v>164.23</v>
      </c>
      <c r="J41" s="423">
        <f>TRUNC(G41*5%,2)</f>
        <v>41.05</v>
      </c>
      <c r="K41" s="423">
        <f>TRUNC(G41*5%,2)</f>
        <v>41.05</v>
      </c>
      <c r="L41" s="423">
        <f>TRUNC(G41*6%,2)</f>
        <v>49.26</v>
      </c>
      <c r="M41" s="423">
        <f>TRUNC(G41*3%,2)</f>
        <v>24.63</v>
      </c>
      <c r="N41" s="423">
        <f>MATRIZ!$I$373</f>
        <v>42.28</v>
      </c>
      <c r="O41" s="423">
        <v>0</v>
      </c>
      <c r="P41" s="423">
        <f>MATRIZ!$I$381</f>
        <v>32.57</v>
      </c>
      <c r="Q41" s="423">
        <f>MATRIZ!$I$382</f>
        <v>2.87</v>
      </c>
      <c r="R41" s="107" t="s">
        <v>22</v>
      </c>
      <c r="S41" s="371">
        <f>SUM(G41:Q41)</f>
        <v>1235.5099999999998</v>
      </c>
    </row>
    <row r="42" spans="2:19" s="7" customFormat="1" ht="12" x14ac:dyDescent="0.2">
      <c r="B42" s="85"/>
      <c r="C42" s="418"/>
      <c r="D42" s="113"/>
      <c r="E42" s="7" t="s">
        <v>163</v>
      </c>
      <c r="F42" s="418"/>
      <c r="G42" s="327">
        <f>MATRIZ!$I$160</f>
        <v>185.01</v>
      </c>
      <c r="H42" s="423">
        <f>TRUNC(G42*2%,2)</f>
        <v>3.7</v>
      </c>
      <c r="I42" s="423">
        <f>TRUNC(G42*20%,2)</f>
        <v>37</v>
      </c>
      <c r="J42" s="423">
        <f>TRUNC(G42*5%,2)</f>
        <v>9.25</v>
      </c>
      <c r="K42" s="423">
        <f>TRUNC(G42*5%,2)</f>
        <v>9.25</v>
      </c>
      <c r="L42" s="423">
        <f>TRUNC(G42*6%,2)</f>
        <v>11.1</v>
      </c>
      <c r="M42" s="423">
        <f>TRUNC(G42*3%,2)</f>
        <v>5.55</v>
      </c>
      <c r="N42" s="423">
        <f>MATRIZ!$I$373</f>
        <v>42.28</v>
      </c>
      <c r="O42" s="423">
        <v>0</v>
      </c>
      <c r="P42" s="423" t="s">
        <v>22</v>
      </c>
      <c r="Q42" s="423">
        <f>MATRIZ!$I$382</f>
        <v>2.87</v>
      </c>
      <c r="R42" s="414">
        <v>1</v>
      </c>
      <c r="S42" s="371">
        <f>SUM(G42:Q42)</f>
        <v>306.01</v>
      </c>
    </row>
    <row r="43" spans="2:19" s="7" customFormat="1" ht="12" x14ac:dyDescent="0.2">
      <c r="B43" s="79"/>
      <c r="C43" s="415"/>
      <c r="D43" s="415"/>
      <c r="E43" s="416" t="s">
        <v>7</v>
      </c>
      <c r="F43" s="417"/>
      <c r="G43" s="82">
        <f t="shared" ref="G43:Q43" si="60">SUM(G41:G42)</f>
        <v>1006.16</v>
      </c>
      <c r="H43" s="420">
        <f t="shared" si="60"/>
        <v>20.12</v>
      </c>
      <c r="I43" s="420">
        <f t="shared" si="60"/>
        <v>201.23</v>
      </c>
      <c r="J43" s="420">
        <f t="shared" si="60"/>
        <v>50.3</v>
      </c>
      <c r="K43" s="420">
        <f t="shared" si="60"/>
        <v>50.3</v>
      </c>
      <c r="L43" s="420">
        <f t="shared" si="60"/>
        <v>60.36</v>
      </c>
      <c r="M43" s="420">
        <f t="shared" si="60"/>
        <v>30.18</v>
      </c>
      <c r="N43" s="420">
        <f t="shared" si="60"/>
        <v>84.56</v>
      </c>
      <c r="O43" s="420">
        <f t="shared" si="60"/>
        <v>0</v>
      </c>
      <c r="P43" s="420">
        <f t="shared" si="60"/>
        <v>32.57</v>
      </c>
      <c r="Q43" s="420">
        <f t="shared" si="60"/>
        <v>5.74</v>
      </c>
      <c r="R43" s="81"/>
      <c r="S43" s="420">
        <f>SUM(S41:S42)</f>
        <v>1541.5199999999998</v>
      </c>
    </row>
    <row r="44" spans="2:19" s="7" customFormat="1" ht="12" x14ac:dyDescent="0.2">
      <c r="B44" s="78">
        <f>D41+0.01</f>
        <v>73740.5</v>
      </c>
      <c r="C44" s="113" t="s">
        <v>11</v>
      </c>
      <c r="D44" s="113">
        <v>98320.639999999999</v>
      </c>
      <c r="E44" s="7" t="s">
        <v>162</v>
      </c>
      <c r="G44" s="53">
        <f>MATRIZ!I146</f>
        <v>1455.47</v>
      </c>
      <c r="H44" s="423">
        <f>TRUNC(G44*2%,2)</f>
        <v>29.1</v>
      </c>
      <c r="I44" s="423">
        <f>TRUNC(G44*20%,2)</f>
        <v>291.08999999999997</v>
      </c>
      <c r="J44" s="423">
        <f>TRUNC(G44*5%,2)</f>
        <v>72.77</v>
      </c>
      <c r="K44" s="423">
        <f>TRUNC(G44*5%,2)</f>
        <v>72.77</v>
      </c>
      <c r="L44" s="423">
        <f>TRUNC(G44*6%,2)</f>
        <v>87.32</v>
      </c>
      <c r="M44" s="423">
        <f>TRUNC(G44*3%,2)</f>
        <v>43.66</v>
      </c>
      <c r="N44" s="423">
        <f>MATRIZ!$I$373</f>
        <v>42.28</v>
      </c>
      <c r="O44" s="423">
        <v>0</v>
      </c>
      <c r="P44" s="423">
        <f>MATRIZ!$I$381</f>
        <v>32.57</v>
      </c>
      <c r="Q44" s="423">
        <f>MATRIZ!$I$382</f>
        <v>2.87</v>
      </c>
      <c r="R44" s="107" t="s">
        <v>22</v>
      </c>
      <c r="S44" s="371">
        <f>SUM(G44:Q44)</f>
        <v>2129.9</v>
      </c>
    </row>
    <row r="45" spans="2:19" s="7" customFormat="1" ht="12" x14ac:dyDescent="0.2">
      <c r="B45" s="85"/>
      <c r="C45" s="418"/>
      <c r="D45" s="113"/>
      <c r="E45" s="7" t="s">
        <v>163</v>
      </c>
      <c r="F45" s="418"/>
      <c r="G45" s="327">
        <f>MATRIZ!$I$160</f>
        <v>185.01</v>
      </c>
      <c r="H45" s="423">
        <f>TRUNC(G45*2%,2)</f>
        <v>3.7</v>
      </c>
      <c r="I45" s="423">
        <f>TRUNC(G45*20%,2)</f>
        <v>37</v>
      </c>
      <c r="J45" s="423">
        <f>TRUNC(G45*5%,2)</f>
        <v>9.25</v>
      </c>
      <c r="K45" s="423">
        <f>TRUNC(G45*5%,2)</f>
        <v>9.25</v>
      </c>
      <c r="L45" s="423">
        <f>TRUNC(G45*6%,2)</f>
        <v>11.1</v>
      </c>
      <c r="M45" s="423">
        <f>TRUNC(G45*3%,2)</f>
        <v>5.55</v>
      </c>
      <c r="N45" s="423">
        <f>MATRIZ!$I$373</f>
        <v>42.28</v>
      </c>
      <c r="O45" s="423">
        <v>0</v>
      </c>
      <c r="P45" s="423" t="s">
        <v>22</v>
      </c>
      <c r="Q45" s="423">
        <f>MATRIZ!$I$382</f>
        <v>2.87</v>
      </c>
      <c r="R45" s="414">
        <v>1</v>
      </c>
      <c r="S45" s="371">
        <f>SUM(G45:Q45)</f>
        <v>306.01</v>
      </c>
    </row>
    <row r="46" spans="2:19" s="7" customFormat="1" ht="12" x14ac:dyDescent="0.2">
      <c r="B46" s="79"/>
      <c r="C46" s="415"/>
      <c r="D46" s="415"/>
      <c r="E46" s="416" t="s">
        <v>7</v>
      </c>
      <c r="F46" s="417"/>
      <c r="G46" s="82">
        <f t="shared" ref="G46:Q46" si="61">SUM(G44:G45)</f>
        <v>1640.48</v>
      </c>
      <c r="H46" s="420">
        <f t="shared" si="61"/>
        <v>32.800000000000004</v>
      </c>
      <c r="I46" s="420">
        <f t="shared" si="61"/>
        <v>328.09</v>
      </c>
      <c r="J46" s="420">
        <f t="shared" si="61"/>
        <v>82.02</v>
      </c>
      <c r="K46" s="420">
        <f t="shared" si="61"/>
        <v>82.02</v>
      </c>
      <c r="L46" s="420">
        <f t="shared" si="61"/>
        <v>98.419999999999987</v>
      </c>
      <c r="M46" s="420">
        <f t="shared" si="61"/>
        <v>49.209999999999994</v>
      </c>
      <c r="N46" s="420">
        <f t="shared" si="61"/>
        <v>84.56</v>
      </c>
      <c r="O46" s="420">
        <f t="shared" si="61"/>
        <v>0</v>
      </c>
      <c r="P46" s="420">
        <f t="shared" si="61"/>
        <v>32.57</v>
      </c>
      <c r="Q46" s="420">
        <f t="shared" si="61"/>
        <v>5.74</v>
      </c>
      <c r="R46" s="81"/>
      <c r="S46" s="420">
        <f>SUM(S44:S45)</f>
        <v>2435.91</v>
      </c>
    </row>
    <row r="47" spans="2:19" s="7" customFormat="1" ht="12" x14ac:dyDescent="0.2">
      <c r="B47" s="78">
        <f>D44+0.01</f>
        <v>98320.65</v>
      </c>
      <c r="C47" s="113" t="s">
        <v>11</v>
      </c>
      <c r="D47" s="113">
        <v>122900.81</v>
      </c>
      <c r="E47" s="7" t="s">
        <v>162</v>
      </c>
      <c r="F47" s="418"/>
      <c r="G47" s="53">
        <f>MATRIZ!I147</f>
        <v>1718.27</v>
      </c>
      <c r="H47" s="423">
        <f>TRUNC(G47*2%,2)</f>
        <v>34.36</v>
      </c>
      <c r="I47" s="423">
        <f>TRUNC(G47*20%,2)</f>
        <v>343.65</v>
      </c>
      <c r="J47" s="423">
        <f>TRUNC(G47*5%,2)</f>
        <v>85.91</v>
      </c>
      <c r="K47" s="423">
        <f>TRUNC(G47*5%,2)</f>
        <v>85.91</v>
      </c>
      <c r="L47" s="423">
        <f>TRUNC(G47*6%,2)</f>
        <v>103.09</v>
      </c>
      <c r="M47" s="423">
        <f>TRUNC(G47*3%,2)</f>
        <v>51.54</v>
      </c>
      <c r="N47" s="423">
        <f>MATRIZ!$I$373</f>
        <v>42.28</v>
      </c>
      <c r="O47" s="423">
        <v>0</v>
      </c>
      <c r="P47" s="423">
        <f>MATRIZ!$I$381</f>
        <v>32.57</v>
      </c>
      <c r="Q47" s="423">
        <f>MATRIZ!$I$382</f>
        <v>2.87</v>
      </c>
      <c r="R47" s="107" t="s">
        <v>22</v>
      </c>
      <c r="S47" s="371">
        <f>SUM(G47:Q47)</f>
        <v>2500.4499999999998</v>
      </c>
    </row>
    <row r="48" spans="2:19" s="7" customFormat="1" ht="12" x14ac:dyDescent="0.2">
      <c r="B48" s="85"/>
      <c r="C48" s="418"/>
      <c r="D48" s="113"/>
      <c r="E48" s="7" t="s">
        <v>163</v>
      </c>
      <c r="F48" s="418"/>
      <c r="G48" s="327">
        <f>MATRIZ!$I$160</f>
        <v>185.01</v>
      </c>
      <c r="H48" s="423">
        <f>TRUNC(G48*2%,2)</f>
        <v>3.7</v>
      </c>
      <c r="I48" s="423">
        <f>TRUNC(G48*20%,2)</f>
        <v>37</v>
      </c>
      <c r="J48" s="423">
        <f>TRUNC(G48*5%,2)</f>
        <v>9.25</v>
      </c>
      <c r="K48" s="423">
        <f>TRUNC(G48*5%,2)</f>
        <v>9.25</v>
      </c>
      <c r="L48" s="423">
        <f>TRUNC(G48*6%,2)</f>
        <v>11.1</v>
      </c>
      <c r="M48" s="423">
        <f>TRUNC(G48*3%,2)</f>
        <v>5.55</v>
      </c>
      <c r="N48" s="423">
        <f>MATRIZ!$I$373</f>
        <v>42.28</v>
      </c>
      <c r="O48" s="423">
        <v>0</v>
      </c>
      <c r="P48" s="423" t="s">
        <v>22</v>
      </c>
      <c r="Q48" s="423">
        <f>MATRIZ!$I$382</f>
        <v>2.87</v>
      </c>
      <c r="R48" s="414">
        <v>1</v>
      </c>
      <c r="S48" s="371">
        <f>SUM(G48:Q48)</f>
        <v>306.01</v>
      </c>
    </row>
    <row r="49" spans="2:19" s="7" customFormat="1" ht="12" x14ac:dyDescent="0.2">
      <c r="B49" s="79"/>
      <c r="C49" s="415"/>
      <c r="D49" s="415"/>
      <c r="E49" s="416" t="s">
        <v>7</v>
      </c>
      <c r="F49" s="417"/>
      <c r="G49" s="82">
        <f t="shared" ref="G49:Q49" si="62">SUM(G47:G48)</f>
        <v>1903.28</v>
      </c>
      <c r="H49" s="420">
        <f t="shared" si="62"/>
        <v>38.06</v>
      </c>
      <c r="I49" s="420">
        <f t="shared" si="62"/>
        <v>380.65</v>
      </c>
      <c r="J49" s="420">
        <f t="shared" si="62"/>
        <v>95.16</v>
      </c>
      <c r="K49" s="420">
        <f t="shared" si="62"/>
        <v>95.16</v>
      </c>
      <c r="L49" s="420">
        <f t="shared" si="62"/>
        <v>114.19</v>
      </c>
      <c r="M49" s="420">
        <f t="shared" si="62"/>
        <v>57.089999999999996</v>
      </c>
      <c r="N49" s="420">
        <f t="shared" si="62"/>
        <v>84.56</v>
      </c>
      <c r="O49" s="420">
        <f t="shared" si="62"/>
        <v>0</v>
      </c>
      <c r="P49" s="420">
        <f t="shared" si="62"/>
        <v>32.57</v>
      </c>
      <c r="Q49" s="420">
        <f t="shared" si="62"/>
        <v>5.74</v>
      </c>
      <c r="R49" s="81"/>
      <c r="S49" s="420">
        <f>SUM(S47:S48)</f>
        <v>2806.46</v>
      </c>
    </row>
    <row r="50" spans="2:19" s="7" customFormat="1" ht="12" x14ac:dyDescent="0.2">
      <c r="B50" s="78">
        <f>D47+0.01</f>
        <v>122900.81999999999</v>
      </c>
      <c r="C50" s="113" t="s">
        <v>11</v>
      </c>
      <c r="D50" s="113">
        <v>245801.64</v>
      </c>
      <c r="E50" s="7" t="s">
        <v>162</v>
      </c>
      <c r="F50" s="418"/>
      <c r="G50" s="53">
        <f>MATRIZ!I148</f>
        <v>2324.7199999999998</v>
      </c>
      <c r="H50" s="423">
        <f>TRUNC(G50*2%,2)</f>
        <v>46.49</v>
      </c>
      <c r="I50" s="423">
        <f>TRUNC(G50*20%,2)</f>
        <v>464.94</v>
      </c>
      <c r="J50" s="423">
        <f>TRUNC(G50*5%,2)</f>
        <v>116.23</v>
      </c>
      <c r="K50" s="423">
        <f>TRUNC(G50*5%,2)</f>
        <v>116.23</v>
      </c>
      <c r="L50" s="423">
        <f>TRUNC(G50*6%,2)</f>
        <v>139.47999999999999</v>
      </c>
      <c r="M50" s="423">
        <f>TRUNC(G50*3%,2)</f>
        <v>69.739999999999995</v>
      </c>
      <c r="N50" s="423">
        <f>MATRIZ!$I$373</f>
        <v>42.28</v>
      </c>
      <c r="O50" s="423">
        <v>0</v>
      </c>
      <c r="P50" s="423">
        <f>MATRIZ!$I$381</f>
        <v>32.57</v>
      </c>
      <c r="Q50" s="423">
        <f>MATRIZ!$I$382</f>
        <v>2.87</v>
      </c>
      <c r="R50" s="107" t="s">
        <v>22</v>
      </c>
      <c r="S50" s="371">
        <f>SUM(G50:Q50)</f>
        <v>3355.5499999999997</v>
      </c>
    </row>
    <row r="51" spans="2:19" s="7" customFormat="1" ht="12" x14ac:dyDescent="0.2">
      <c r="B51" s="85"/>
      <c r="C51" s="418"/>
      <c r="D51" s="113"/>
      <c r="E51" s="7" t="s">
        <v>163</v>
      </c>
      <c r="F51" s="418"/>
      <c r="G51" s="327">
        <f>MATRIZ!$I$160</f>
        <v>185.01</v>
      </c>
      <c r="H51" s="423">
        <f>TRUNC(G51*2%,2)</f>
        <v>3.7</v>
      </c>
      <c r="I51" s="423">
        <f>TRUNC(G51*20%,2)</f>
        <v>37</v>
      </c>
      <c r="J51" s="423">
        <f>TRUNC(G51*5%,2)</f>
        <v>9.25</v>
      </c>
      <c r="K51" s="423">
        <f>TRUNC(G51*5%,2)</f>
        <v>9.25</v>
      </c>
      <c r="L51" s="423">
        <f>TRUNC(G51*6%,2)</f>
        <v>11.1</v>
      </c>
      <c r="M51" s="423">
        <f>TRUNC(G51*3%,2)</f>
        <v>5.55</v>
      </c>
      <c r="N51" s="423">
        <f>MATRIZ!$I$373</f>
        <v>42.28</v>
      </c>
      <c r="O51" s="423">
        <v>0</v>
      </c>
      <c r="P51" s="423" t="s">
        <v>22</v>
      </c>
      <c r="Q51" s="423">
        <f>MATRIZ!$I$382</f>
        <v>2.87</v>
      </c>
      <c r="R51" s="414">
        <v>1</v>
      </c>
      <c r="S51" s="371">
        <f>SUM(G51:Q51)</f>
        <v>306.01</v>
      </c>
    </row>
    <row r="52" spans="2:19" s="7" customFormat="1" ht="12" x14ac:dyDescent="0.2">
      <c r="B52" s="79"/>
      <c r="C52" s="415"/>
      <c r="D52" s="415"/>
      <c r="E52" s="416" t="s">
        <v>7</v>
      </c>
      <c r="F52" s="417"/>
      <c r="G52" s="82">
        <f t="shared" ref="G52:Q52" si="63">SUM(G50:G51)</f>
        <v>2509.7299999999996</v>
      </c>
      <c r="H52" s="420">
        <f t="shared" si="63"/>
        <v>50.190000000000005</v>
      </c>
      <c r="I52" s="420">
        <f t="shared" si="63"/>
        <v>501.94</v>
      </c>
      <c r="J52" s="420">
        <f t="shared" si="63"/>
        <v>125.48</v>
      </c>
      <c r="K52" s="420">
        <f t="shared" si="63"/>
        <v>125.48</v>
      </c>
      <c r="L52" s="420">
        <f t="shared" si="63"/>
        <v>150.57999999999998</v>
      </c>
      <c r="M52" s="420">
        <f t="shared" si="63"/>
        <v>75.289999999999992</v>
      </c>
      <c r="N52" s="420">
        <f t="shared" si="63"/>
        <v>84.56</v>
      </c>
      <c r="O52" s="420">
        <f t="shared" si="63"/>
        <v>0</v>
      </c>
      <c r="P52" s="420">
        <f t="shared" si="63"/>
        <v>32.57</v>
      </c>
      <c r="Q52" s="420">
        <f t="shared" si="63"/>
        <v>5.74</v>
      </c>
      <c r="R52" s="81"/>
      <c r="S52" s="420">
        <f>SUM(S50:S51)</f>
        <v>3661.5599999999995</v>
      </c>
    </row>
    <row r="53" spans="2:19" x14ac:dyDescent="0.2">
      <c r="B53" s="78">
        <f>D50+0.01</f>
        <v>245801.65000000002</v>
      </c>
      <c r="C53" s="113" t="s">
        <v>11</v>
      </c>
      <c r="D53" s="113">
        <v>491603.3</v>
      </c>
      <c r="E53" s="7" t="s">
        <v>162</v>
      </c>
      <c r="F53" s="418"/>
      <c r="G53" s="53">
        <f>MATRIZ!I149</f>
        <v>2494.48</v>
      </c>
      <c r="H53" s="423">
        <f>TRUNC(G53*2%,2)</f>
        <v>49.88</v>
      </c>
      <c r="I53" s="423">
        <f>TRUNC(G53*20%,2)</f>
        <v>498.89</v>
      </c>
      <c r="J53" s="423">
        <f>TRUNC(G53*5%,2)</f>
        <v>124.72</v>
      </c>
      <c r="K53" s="423">
        <f>TRUNC(G53*5%,2)</f>
        <v>124.72</v>
      </c>
      <c r="L53" s="423">
        <f>TRUNC(G53*6%,2)</f>
        <v>149.66</v>
      </c>
      <c r="M53" s="423">
        <f>TRUNC(G53*3%,2)</f>
        <v>74.83</v>
      </c>
      <c r="N53" s="423">
        <f>MATRIZ!$I$373</f>
        <v>42.28</v>
      </c>
      <c r="O53" s="423">
        <v>0</v>
      </c>
      <c r="P53" s="423">
        <f>MATRIZ!$I$381</f>
        <v>32.57</v>
      </c>
      <c r="Q53" s="423">
        <f>MATRIZ!$I$382</f>
        <v>2.87</v>
      </c>
      <c r="R53" s="107" t="s">
        <v>22</v>
      </c>
      <c r="S53" s="371">
        <f>SUM(G53:Q53)</f>
        <v>3594.8999999999996</v>
      </c>
    </row>
    <row r="54" spans="2:19" x14ac:dyDescent="0.2">
      <c r="B54" s="85"/>
      <c r="C54" s="418"/>
      <c r="D54" s="113"/>
      <c r="E54" s="7" t="s">
        <v>163</v>
      </c>
      <c r="F54" s="418"/>
      <c r="G54" s="327">
        <f>MATRIZ!$I$160</f>
        <v>185.01</v>
      </c>
      <c r="H54" s="423">
        <f>TRUNC(G54*2%,2)</f>
        <v>3.7</v>
      </c>
      <c r="I54" s="423">
        <f>TRUNC(G54*20%,2)</f>
        <v>37</v>
      </c>
      <c r="J54" s="423">
        <f>TRUNC(G54*5%,2)</f>
        <v>9.25</v>
      </c>
      <c r="K54" s="423">
        <f>TRUNC(G54*5%,2)</f>
        <v>9.25</v>
      </c>
      <c r="L54" s="423">
        <f>TRUNC(G54*6%,2)</f>
        <v>11.1</v>
      </c>
      <c r="M54" s="423">
        <f>TRUNC(G54*3%,2)</f>
        <v>5.55</v>
      </c>
      <c r="N54" s="423">
        <f>MATRIZ!$I$373</f>
        <v>42.28</v>
      </c>
      <c r="O54" s="423">
        <v>0</v>
      </c>
      <c r="P54" s="423" t="s">
        <v>22</v>
      </c>
      <c r="Q54" s="423">
        <f>MATRIZ!$I$382</f>
        <v>2.87</v>
      </c>
      <c r="R54" s="414">
        <v>1</v>
      </c>
      <c r="S54" s="371">
        <f>SUM(G54:Q54)</f>
        <v>306.01</v>
      </c>
    </row>
    <row r="55" spans="2:19" x14ac:dyDescent="0.2">
      <c r="B55" s="79"/>
      <c r="C55" s="415"/>
      <c r="D55" s="415"/>
      <c r="E55" s="416" t="s">
        <v>7</v>
      </c>
      <c r="F55" s="417"/>
      <c r="G55" s="82">
        <f t="shared" ref="G55:Q55" si="64">SUM(G53:G54)</f>
        <v>2679.49</v>
      </c>
      <c r="H55" s="420">
        <f t="shared" si="64"/>
        <v>53.580000000000005</v>
      </c>
      <c r="I55" s="420">
        <f t="shared" si="64"/>
        <v>535.89</v>
      </c>
      <c r="J55" s="420">
        <f t="shared" si="64"/>
        <v>133.97</v>
      </c>
      <c r="K55" s="420">
        <f t="shared" si="64"/>
        <v>133.97</v>
      </c>
      <c r="L55" s="420">
        <f t="shared" si="64"/>
        <v>160.76</v>
      </c>
      <c r="M55" s="420">
        <f t="shared" si="64"/>
        <v>80.38</v>
      </c>
      <c r="N55" s="420">
        <f t="shared" si="64"/>
        <v>84.56</v>
      </c>
      <c r="O55" s="420">
        <f t="shared" si="64"/>
        <v>0</v>
      </c>
      <c r="P55" s="420">
        <f t="shared" si="64"/>
        <v>32.57</v>
      </c>
      <c r="Q55" s="420">
        <f t="shared" si="64"/>
        <v>5.74</v>
      </c>
      <c r="R55" s="81"/>
      <c r="S55" s="420">
        <f>SUM(S53:S54)</f>
        <v>3900.91</v>
      </c>
    </row>
    <row r="56" spans="2:19" ht="13.5" customHeight="1" thickBot="1" x14ac:dyDescent="0.25">
      <c r="B56" s="847" t="s">
        <v>655</v>
      </c>
      <c r="C56" s="848"/>
      <c r="D56" s="848"/>
      <c r="E56" s="848"/>
      <c r="F56" s="848"/>
      <c r="G56" s="87">
        <f>MATRIZ!I150</f>
        <v>220.93</v>
      </c>
      <c r="H56" s="424">
        <f>TRUNC(G56*2%,2)</f>
        <v>4.41</v>
      </c>
      <c r="I56" s="424">
        <f>TRUNC(G56*20%,2)</f>
        <v>44.18</v>
      </c>
      <c r="J56" s="424">
        <f>TRUNC(G56*5%,2)</f>
        <v>11.04</v>
      </c>
      <c r="K56" s="424">
        <f>TRUNC(G56*5%,2)</f>
        <v>11.04</v>
      </c>
      <c r="L56" s="424">
        <f>TRUNC(G56*6%,2)</f>
        <v>13.25</v>
      </c>
      <c r="M56" s="424">
        <f>TRUNC(G56*3%,2)</f>
        <v>6.62</v>
      </c>
      <c r="N56" s="88"/>
      <c r="O56" s="88"/>
      <c r="P56" s="89"/>
      <c r="Q56" s="89"/>
      <c r="R56" s="89"/>
      <c r="S56" s="90">
        <f>SUM(G56:Q56)</f>
        <v>311.47000000000003</v>
      </c>
    </row>
  </sheetData>
  <sheetProtection selectLockedCells="1" selectUnlockedCells="1"/>
  <mergeCells count="18">
    <mergeCell ref="B28:F28"/>
    <mergeCell ref="Q2:Q3"/>
    <mergeCell ref="Q30:Q31"/>
    <mergeCell ref="B30:F30"/>
    <mergeCell ref="G30:G31"/>
    <mergeCell ref="B1:F1"/>
    <mergeCell ref="G1:S1"/>
    <mergeCell ref="B2:F2"/>
    <mergeCell ref="G2:G3"/>
    <mergeCell ref="N2:O2"/>
    <mergeCell ref="P2:P3"/>
    <mergeCell ref="R2:R3"/>
    <mergeCell ref="S2:S3"/>
    <mergeCell ref="N30:O30"/>
    <mergeCell ref="P30:P31"/>
    <mergeCell ref="R30:R31"/>
    <mergeCell ref="S30:S31"/>
    <mergeCell ref="B56:F56"/>
  </mergeCells>
  <printOptions horizontalCentered="1"/>
  <pageMargins left="0.19685039370078741" right="0.19685039370078741" top="0.39370078740157483" bottom="0.19685039370078741" header="0" footer="0.59055118110236227"/>
  <pageSetup paperSize="9" scale="80" orientation="landscape" r:id="rId1"/>
  <headerFooter alignWithMargins="0"/>
  <ignoredErrors>
    <ignoredError sqref="I4 H6:S6 H9:S9 H12:S12 H15:S15 H18:S18 H21:S21 H24:S24 S27 H27:R27 S34 S38:S39 S44:S45 S47:S48 S50:S51 S53:S54 S41:S42 H34:Q34 H37:S37 H40:S40 H43:S43 H46:S46 H49:S49 H52:R52 H55:S5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</sheetPr>
  <dimension ref="B1:T158"/>
  <sheetViews>
    <sheetView showGridLines="0" zoomScale="85" zoomScaleNormal="85" workbookViewId="0">
      <pane ySplit="4" topLeftCell="A5" activePane="bottomLeft" state="frozen"/>
      <selection activeCell="L275" sqref="L275"/>
      <selection pane="bottomLeft" activeCell="L275" sqref="L275"/>
    </sheetView>
  </sheetViews>
  <sheetFormatPr defaultRowHeight="12" x14ac:dyDescent="0.2"/>
  <cols>
    <col min="1" max="1" width="1.85546875" style="7" customWidth="1"/>
    <col min="2" max="2" width="12.5703125" style="7" customWidth="1"/>
    <col min="3" max="3" width="11.7109375" style="7" bestFit="1" customWidth="1"/>
    <col min="4" max="4" width="6" style="7" customWidth="1"/>
    <col min="5" max="5" width="11.42578125" style="7" customWidth="1"/>
    <col min="6" max="6" width="21.42578125" style="7" customWidth="1"/>
    <col min="7" max="7" width="13.140625" style="7" customWidth="1"/>
    <col min="8" max="8" width="11.85546875" style="7" customWidth="1"/>
    <col min="9" max="9" width="10.5703125" style="7" customWidth="1"/>
    <col min="10" max="10" width="11" style="7" customWidth="1"/>
    <col min="11" max="11" width="8.85546875" style="7" customWidth="1"/>
    <col min="12" max="12" width="11.5703125" style="7" customWidth="1"/>
    <col min="13" max="13" width="11.28515625" style="7" customWidth="1"/>
    <col min="14" max="14" width="10" style="7" customWidth="1"/>
    <col min="15" max="15" width="10.7109375" style="7" customWidth="1"/>
    <col min="16" max="16" width="8.7109375" style="7" customWidth="1"/>
    <col min="17" max="17" width="9" style="7" customWidth="1"/>
    <col min="18" max="18" width="7.140625" style="7" customWidth="1"/>
    <col min="19" max="19" width="12.42578125" style="15" customWidth="1"/>
    <col min="20" max="16384" width="9.140625" style="7"/>
  </cols>
  <sheetData>
    <row r="1" spans="2:19" ht="26.25" customHeight="1" x14ac:dyDescent="0.2">
      <c r="B1" s="869" t="str">
        <f>MATRIZ!B1</f>
        <v>PORTARIA n.º 423/2025</v>
      </c>
      <c r="C1" s="773"/>
      <c r="D1" s="773"/>
      <c r="E1" s="773"/>
      <c r="F1" s="773"/>
      <c r="G1" s="773"/>
      <c r="H1" s="867" t="s">
        <v>33</v>
      </c>
      <c r="I1" s="867"/>
      <c r="J1" s="867"/>
      <c r="K1" s="867"/>
      <c r="L1" s="867"/>
      <c r="M1" s="867"/>
      <c r="N1" s="867"/>
      <c r="O1" s="867"/>
      <c r="P1" s="867"/>
      <c r="Q1" s="867"/>
      <c r="R1" s="867"/>
      <c r="S1" s="868"/>
    </row>
    <row r="2" spans="2:19" s="8" customFormat="1" ht="3.75" customHeight="1" thickBot="1" x14ac:dyDescent="0.3">
      <c r="B2" s="284"/>
      <c r="C2" s="108"/>
      <c r="D2" s="109"/>
      <c r="E2" s="108"/>
      <c r="F2" s="108"/>
      <c r="G2" s="110"/>
      <c r="H2" s="110"/>
      <c r="I2" s="110"/>
      <c r="J2" s="110"/>
      <c r="K2" s="110"/>
      <c r="L2" s="110"/>
      <c r="M2" s="108"/>
      <c r="N2" s="108"/>
      <c r="O2" s="108"/>
      <c r="P2" s="108"/>
      <c r="Q2" s="108"/>
      <c r="R2" s="108"/>
      <c r="S2" s="285"/>
    </row>
    <row r="3" spans="2:19" s="1" customFormat="1" ht="14.25" customHeight="1" x14ac:dyDescent="0.2">
      <c r="B3" s="858" t="s">
        <v>34</v>
      </c>
      <c r="C3" s="859"/>
      <c r="D3" s="859"/>
      <c r="E3" s="859"/>
      <c r="F3" s="859"/>
      <c r="G3" s="860"/>
      <c r="H3" s="880" t="s">
        <v>45</v>
      </c>
      <c r="I3" s="275" t="s">
        <v>35</v>
      </c>
      <c r="J3" s="870" t="s">
        <v>3</v>
      </c>
      <c r="K3" s="469">
        <v>0.02</v>
      </c>
      <c r="L3" s="11">
        <v>0.2</v>
      </c>
      <c r="M3" s="469">
        <v>0.05</v>
      </c>
      <c r="N3" s="469">
        <v>0.05</v>
      </c>
      <c r="O3" s="469">
        <v>0.06</v>
      </c>
      <c r="P3" s="872" t="s">
        <v>5</v>
      </c>
      <c r="Q3" s="874" t="s">
        <v>36</v>
      </c>
      <c r="R3" s="874" t="s">
        <v>6</v>
      </c>
      <c r="S3" s="863" t="s">
        <v>37</v>
      </c>
    </row>
    <row r="4" spans="2:19" s="1" customFormat="1" ht="22.5" customHeight="1" thickBot="1" x14ac:dyDescent="0.25">
      <c r="B4" s="876" t="s">
        <v>456</v>
      </c>
      <c r="C4" s="877"/>
      <c r="D4" s="877"/>
      <c r="E4" s="877"/>
      <c r="F4" s="877"/>
      <c r="G4" s="878"/>
      <c r="H4" s="881"/>
      <c r="I4" s="481" t="s">
        <v>39</v>
      </c>
      <c r="J4" s="871"/>
      <c r="K4" s="482" t="s">
        <v>40</v>
      </c>
      <c r="L4" s="483" t="s">
        <v>41</v>
      </c>
      <c r="M4" s="482" t="s">
        <v>42</v>
      </c>
      <c r="N4" s="482" t="s">
        <v>43</v>
      </c>
      <c r="O4" s="482" t="s">
        <v>44</v>
      </c>
      <c r="P4" s="873"/>
      <c r="Q4" s="788"/>
      <c r="R4" s="788"/>
      <c r="S4" s="875"/>
    </row>
    <row r="5" spans="2:19" s="1" customFormat="1" ht="15" x14ac:dyDescent="0.2">
      <c r="B5" s="892" t="s">
        <v>46</v>
      </c>
      <c r="C5" s="893"/>
      <c r="D5" s="893"/>
      <c r="E5" s="893"/>
      <c r="F5" s="893"/>
      <c r="H5" s="339" t="s">
        <v>424</v>
      </c>
      <c r="I5" s="8"/>
      <c r="J5" s="7"/>
      <c r="Q5" s="9"/>
      <c r="S5" s="72"/>
    </row>
    <row r="6" spans="2:19" s="1" customFormat="1" ht="15" x14ac:dyDescent="0.2">
      <c r="B6" s="861" t="s">
        <v>47</v>
      </c>
      <c r="C6" s="862"/>
      <c r="D6" s="862"/>
      <c r="E6" s="862"/>
      <c r="F6" s="862"/>
      <c r="H6" s="106">
        <f>MATRIZ!I55</f>
        <v>199.17</v>
      </c>
      <c r="I6" s="16">
        <f>MATRIZ!$I$102</f>
        <v>32.29</v>
      </c>
      <c r="J6" s="107">
        <f>SUM(H6:I6)</f>
        <v>231.45999999999998</v>
      </c>
      <c r="K6" s="107">
        <f>TRUNC(J6*2%,2)</f>
        <v>4.62</v>
      </c>
      <c r="L6" s="107">
        <f>TRUNC(J6*20%,2)</f>
        <v>46.29</v>
      </c>
      <c r="M6" s="107">
        <f>TRUNC(J6*5%,2)</f>
        <v>11.57</v>
      </c>
      <c r="N6" s="107">
        <f>M6</f>
        <v>11.57</v>
      </c>
      <c r="O6" s="107">
        <f>TRUNC(J6*6%,2)</f>
        <v>13.88</v>
      </c>
      <c r="P6" s="107">
        <f>TRUNC(J6*3%,2)</f>
        <v>6.94</v>
      </c>
      <c r="Q6" s="107" t="s">
        <v>22</v>
      </c>
      <c r="R6" s="107">
        <f>MATRIZ!$I$382</f>
        <v>2.87</v>
      </c>
      <c r="S6" s="318">
        <f>SUM(J6:R6)</f>
        <v>329.2</v>
      </c>
    </row>
    <row r="7" spans="2:19" s="1" customFormat="1" ht="15" customHeight="1" x14ac:dyDescent="0.2">
      <c r="B7" s="861" t="s">
        <v>48</v>
      </c>
      <c r="C7" s="862"/>
      <c r="D7" s="862"/>
      <c r="E7" s="862"/>
      <c r="F7" s="862"/>
      <c r="H7" s="245" t="s">
        <v>424</v>
      </c>
      <c r="I7" s="16"/>
      <c r="J7" s="107"/>
      <c r="K7" s="107"/>
      <c r="L7" s="107"/>
      <c r="M7" s="107"/>
      <c r="N7" s="107"/>
      <c r="O7" s="107"/>
      <c r="P7" s="107"/>
      <c r="Q7" s="4"/>
      <c r="R7" s="107"/>
      <c r="S7" s="318"/>
    </row>
    <row r="8" spans="2:19" s="1" customFormat="1" ht="6.75" customHeight="1" x14ac:dyDescent="0.2">
      <c r="B8" s="286"/>
      <c r="C8" s="112"/>
      <c r="D8" s="894"/>
      <c r="E8" s="894"/>
      <c r="F8" s="112"/>
      <c r="H8" s="106"/>
      <c r="I8" s="16"/>
      <c r="J8" s="107"/>
      <c r="K8" s="107"/>
      <c r="L8" s="107"/>
      <c r="M8" s="107"/>
      <c r="N8" s="107"/>
      <c r="O8" s="107"/>
      <c r="P8" s="107"/>
      <c r="Q8" s="4"/>
      <c r="R8" s="107"/>
      <c r="S8" s="318"/>
    </row>
    <row r="9" spans="2:19" s="1" customFormat="1" ht="12.75" x14ac:dyDescent="0.2">
      <c r="B9" s="52">
        <f>MATRIZ!B58</f>
        <v>0.01</v>
      </c>
      <c r="C9" s="113"/>
      <c r="D9" s="113" t="s">
        <v>11</v>
      </c>
      <c r="E9" s="113"/>
      <c r="F9" s="312">
        <f>MATRIZ!H58</f>
        <v>18435.099999999999</v>
      </c>
      <c r="H9" s="17">
        <f>MATRIZ!I58</f>
        <v>286.39</v>
      </c>
      <c r="I9" s="16">
        <f>MATRIZ!$I$102</f>
        <v>32.29</v>
      </c>
      <c r="J9" s="107">
        <f>SUM(H9:I9)</f>
        <v>318.68</v>
      </c>
      <c r="K9" s="107">
        <f>TRUNC(J9*2%,2)</f>
        <v>6.37</v>
      </c>
      <c r="L9" s="107">
        <f>TRUNC(J9*20%,2)</f>
        <v>63.73</v>
      </c>
      <c r="M9" s="107">
        <f>TRUNC(J9*5%,2)</f>
        <v>15.93</v>
      </c>
      <c r="N9" s="107">
        <f>M9</f>
        <v>15.93</v>
      </c>
      <c r="O9" s="107">
        <f t="shared" ref="O9:O17" si="0">TRUNC(J9*6%,2)</f>
        <v>19.12</v>
      </c>
      <c r="P9" s="107">
        <f>TRUNC(J9*3%,2)</f>
        <v>9.56</v>
      </c>
      <c r="Q9" s="107" t="s">
        <v>22</v>
      </c>
      <c r="R9" s="107">
        <f>MATRIZ!$I$382</f>
        <v>2.87</v>
      </c>
      <c r="S9" s="318">
        <f>SUM(J9:R9)</f>
        <v>452.19000000000005</v>
      </c>
    </row>
    <row r="10" spans="2:19" s="1" customFormat="1" ht="12.75" x14ac:dyDescent="0.2">
      <c r="B10" s="52">
        <f>MATRIZ!B59</f>
        <v>18435.109999999997</v>
      </c>
      <c r="C10" s="4"/>
      <c r="D10" s="4" t="s">
        <v>11</v>
      </c>
      <c r="E10" s="4"/>
      <c r="F10" s="312">
        <f>MATRIZ!H59</f>
        <v>36870.230000000003</v>
      </c>
      <c r="H10" s="17">
        <f>MATRIZ!I59</f>
        <v>473.23</v>
      </c>
      <c r="I10" s="16">
        <f>MATRIZ!$I$102</f>
        <v>32.29</v>
      </c>
      <c r="J10" s="107">
        <f t="shared" ref="J10:J17" si="1">SUM(H10:I10)</f>
        <v>505.52000000000004</v>
      </c>
      <c r="K10" s="107">
        <f t="shared" ref="K10:K17" si="2">TRUNC(J10*2%,2)</f>
        <v>10.11</v>
      </c>
      <c r="L10" s="107">
        <f t="shared" ref="L10:L17" si="3">TRUNC(J10*20%,2)</f>
        <v>101.1</v>
      </c>
      <c r="M10" s="107">
        <f t="shared" ref="M10:M17" si="4">TRUNC(J10*5%,2)</f>
        <v>25.27</v>
      </c>
      <c r="N10" s="107">
        <f t="shared" ref="N10:N17" si="5">M10</f>
        <v>25.27</v>
      </c>
      <c r="O10" s="107">
        <f t="shared" si="0"/>
        <v>30.33</v>
      </c>
      <c r="P10" s="107">
        <f t="shared" ref="P10:P17" si="6">TRUNC(J10*3%,2)</f>
        <v>15.16</v>
      </c>
      <c r="Q10" s="107" t="s">
        <v>22</v>
      </c>
      <c r="R10" s="107">
        <f>MATRIZ!$I$382</f>
        <v>2.87</v>
      </c>
      <c r="S10" s="318">
        <f t="shared" ref="S10:S17" si="7">SUM(J10:R10)</f>
        <v>715.63</v>
      </c>
    </row>
    <row r="11" spans="2:19" s="1" customFormat="1" ht="12.75" x14ac:dyDescent="0.2">
      <c r="B11" s="52">
        <f>MATRIZ!B60</f>
        <v>36870.240000000005</v>
      </c>
      <c r="C11" s="4"/>
      <c r="D11" s="4" t="s">
        <v>11</v>
      </c>
      <c r="E11" s="4"/>
      <c r="F11" s="312">
        <f>MATRIZ!H60</f>
        <v>55305.35</v>
      </c>
      <c r="H11" s="17">
        <f>MATRIZ!I60</f>
        <v>660.14</v>
      </c>
      <c r="I11" s="16">
        <f>MATRIZ!$I$102</f>
        <v>32.29</v>
      </c>
      <c r="J11" s="107">
        <f t="shared" si="1"/>
        <v>692.43</v>
      </c>
      <c r="K11" s="107">
        <f t="shared" si="2"/>
        <v>13.84</v>
      </c>
      <c r="L11" s="107">
        <f t="shared" si="3"/>
        <v>138.47999999999999</v>
      </c>
      <c r="M11" s="107">
        <f t="shared" si="4"/>
        <v>34.619999999999997</v>
      </c>
      <c r="N11" s="107">
        <f t="shared" si="5"/>
        <v>34.619999999999997</v>
      </c>
      <c r="O11" s="107">
        <f t="shared" si="0"/>
        <v>41.54</v>
      </c>
      <c r="P11" s="107">
        <f t="shared" si="6"/>
        <v>20.77</v>
      </c>
      <c r="Q11" s="107" t="s">
        <v>22</v>
      </c>
      <c r="R11" s="107">
        <f>MATRIZ!$I$382</f>
        <v>2.87</v>
      </c>
      <c r="S11" s="318">
        <f t="shared" si="7"/>
        <v>979.17</v>
      </c>
    </row>
    <row r="12" spans="2:19" s="1" customFormat="1" ht="12.75" x14ac:dyDescent="0.2">
      <c r="B12" s="52">
        <f>MATRIZ!B61</f>
        <v>55305.36</v>
      </c>
      <c r="C12" s="4"/>
      <c r="D12" s="4" t="s">
        <v>11</v>
      </c>
      <c r="E12" s="4"/>
      <c r="F12" s="312">
        <f>MATRIZ!H61</f>
        <v>73740.490000000005</v>
      </c>
      <c r="H12" s="17">
        <f>MATRIZ!I61</f>
        <v>809.58</v>
      </c>
      <c r="I12" s="16">
        <f>MATRIZ!$I$102</f>
        <v>32.29</v>
      </c>
      <c r="J12" s="107">
        <f t="shared" si="1"/>
        <v>841.87</v>
      </c>
      <c r="K12" s="107">
        <f t="shared" si="2"/>
        <v>16.829999999999998</v>
      </c>
      <c r="L12" s="107">
        <f t="shared" si="3"/>
        <v>168.37</v>
      </c>
      <c r="M12" s="107">
        <f t="shared" si="4"/>
        <v>42.09</v>
      </c>
      <c r="N12" s="107">
        <f t="shared" si="5"/>
        <v>42.09</v>
      </c>
      <c r="O12" s="107">
        <f t="shared" si="0"/>
        <v>50.51</v>
      </c>
      <c r="P12" s="107">
        <f t="shared" si="6"/>
        <v>25.25</v>
      </c>
      <c r="Q12" s="107" t="s">
        <v>22</v>
      </c>
      <c r="R12" s="107">
        <f>MATRIZ!$I$382</f>
        <v>2.87</v>
      </c>
      <c r="S12" s="318">
        <f t="shared" si="7"/>
        <v>1189.8799999999999</v>
      </c>
    </row>
    <row r="13" spans="2:19" s="1" customFormat="1" ht="12.75" x14ac:dyDescent="0.2">
      <c r="B13" s="52">
        <f>MATRIZ!B62</f>
        <v>73740.5</v>
      </c>
      <c r="C13" s="4"/>
      <c r="D13" s="4" t="s">
        <v>11</v>
      </c>
      <c r="E13" s="4"/>
      <c r="F13" s="312">
        <f>MATRIZ!H62</f>
        <v>98320.639999999999</v>
      </c>
      <c r="H13" s="17">
        <f>MATRIZ!I62</f>
        <v>1434.96</v>
      </c>
      <c r="I13" s="16">
        <f>MATRIZ!$I$102</f>
        <v>32.29</v>
      </c>
      <c r="J13" s="107">
        <f t="shared" si="1"/>
        <v>1467.25</v>
      </c>
      <c r="K13" s="107">
        <f t="shared" si="2"/>
        <v>29.34</v>
      </c>
      <c r="L13" s="107">
        <f t="shared" si="3"/>
        <v>293.45</v>
      </c>
      <c r="M13" s="107">
        <f t="shared" si="4"/>
        <v>73.36</v>
      </c>
      <c r="N13" s="107">
        <f t="shared" si="5"/>
        <v>73.36</v>
      </c>
      <c r="O13" s="107">
        <f t="shared" si="0"/>
        <v>88.03</v>
      </c>
      <c r="P13" s="107">
        <f t="shared" si="6"/>
        <v>44.01</v>
      </c>
      <c r="Q13" s="107" t="s">
        <v>22</v>
      </c>
      <c r="R13" s="107">
        <f>MATRIZ!$I$382</f>
        <v>2.87</v>
      </c>
      <c r="S13" s="318">
        <f t="shared" si="7"/>
        <v>2071.6699999999996</v>
      </c>
    </row>
    <row r="14" spans="2:19" s="1" customFormat="1" ht="12.75" x14ac:dyDescent="0.2">
      <c r="B14" s="52">
        <f>MATRIZ!B63</f>
        <v>98320.65</v>
      </c>
      <c r="C14" s="4"/>
      <c r="D14" s="4" t="s">
        <v>11</v>
      </c>
      <c r="E14" s="4"/>
      <c r="F14" s="312">
        <f>MATRIZ!H63</f>
        <v>122900.81</v>
      </c>
      <c r="H14" s="17">
        <f>MATRIZ!I63</f>
        <v>1694.09</v>
      </c>
      <c r="I14" s="16">
        <f>MATRIZ!$I$102</f>
        <v>32.29</v>
      </c>
      <c r="J14" s="107">
        <f t="shared" si="1"/>
        <v>1726.3799999999999</v>
      </c>
      <c r="K14" s="107">
        <f t="shared" si="2"/>
        <v>34.520000000000003</v>
      </c>
      <c r="L14" s="107">
        <f t="shared" si="3"/>
        <v>345.27</v>
      </c>
      <c r="M14" s="107">
        <f t="shared" si="4"/>
        <v>86.31</v>
      </c>
      <c r="N14" s="107">
        <f t="shared" si="5"/>
        <v>86.31</v>
      </c>
      <c r="O14" s="107">
        <f t="shared" si="0"/>
        <v>103.58</v>
      </c>
      <c r="P14" s="107">
        <f t="shared" si="6"/>
        <v>51.79</v>
      </c>
      <c r="Q14" s="107" t="s">
        <v>22</v>
      </c>
      <c r="R14" s="107">
        <f>MATRIZ!$I$382</f>
        <v>2.87</v>
      </c>
      <c r="S14" s="318">
        <f t="shared" si="7"/>
        <v>2437.0299999999997</v>
      </c>
    </row>
    <row r="15" spans="2:19" s="1" customFormat="1" ht="12.75" x14ac:dyDescent="0.2">
      <c r="B15" s="52">
        <f>MATRIZ!B64</f>
        <v>122900.81999999999</v>
      </c>
      <c r="C15" s="4"/>
      <c r="D15" s="4" t="s">
        <v>11</v>
      </c>
      <c r="E15" s="4"/>
      <c r="F15" s="312">
        <f>MATRIZ!H64</f>
        <v>245801.64</v>
      </c>
      <c r="H15" s="17">
        <f>MATRIZ!I64</f>
        <v>2291.9899999999998</v>
      </c>
      <c r="I15" s="16">
        <f>MATRIZ!$I$102</f>
        <v>32.29</v>
      </c>
      <c r="J15" s="107">
        <f t="shared" si="1"/>
        <v>2324.2799999999997</v>
      </c>
      <c r="K15" s="107">
        <f t="shared" si="2"/>
        <v>46.48</v>
      </c>
      <c r="L15" s="107">
        <f t="shared" si="3"/>
        <v>464.85</v>
      </c>
      <c r="M15" s="107">
        <f t="shared" si="4"/>
        <v>116.21</v>
      </c>
      <c r="N15" s="107">
        <f t="shared" si="5"/>
        <v>116.21</v>
      </c>
      <c r="O15" s="107">
        <f t="shared" si="0"/>
        <v>139.44999999999999</v>
      </c>
      <c r="P15" s="107">
        <f t="shared" si="6"/>
        <v>69.72</v>
      </c>
      <c r="Q15" s="107" t="s">
        <v>22</v>
      </c>
      <c r="R15" s="107">
        <f>MATRIZ!$I$382</f>
        <v>2.87</v>
      </c>
      <c r="S15" s="318">
        <f t="shared" si="7"/>
        <v>3280.0699999999993</v>
      </c>
    </row>
    <row r="16" spans="2:19" s="1" customFormat="1" ht="12.75" x14ac:dyDescent="0.2">
      <c r="B16" s="52">
        <f>MATRIZ!B65</f>
        <v>245801.65000000002</v>
      </c>
      <c r="C16" s="4"/>
      <c r="D16" s="4" t="s">
        <v>11</v>
      </c>
      <c r="E16" s="4"/>
      <c r="F16" s="312">
        <f>MATRIZ!H65</f>
        <v>491603.3</v>
      </c>
      <c r="H16" s="17">
        <f>MATRIZ!I65</f>
        <v>2466.44</v>
      </c>
      <c r="I16" s="16">
        <f>MATRIZ!$I$102</f>
        <v>32.29</v>
      </c>
      <c r="J16" s="107">
        <f t="shared" si="1"/>
        <v>2498.73</v>
      </c>
      <c r="K16" s="107">
        <f t="shared" si="2"/>
        <v>49.97</v>
      </c>
      <c r="L16" s="107">
        <f t="shared" si="3"/>
        <v>499.74</v>
      </c>
      <c r="M16" s="107">
        <f t="shared" si="4"/>
        <v>124.93</v>
      </c>
      <c r="N16" s="107">
        <f t="shared" si="5"/>
        <v>124.93</v>
      </c>
      <c r="O16" s="107">
        <f t="shared" si="0"/>
        <v>149.91999999999999</v>
      </c>
      <c r="P16" s="107">
        <f t="shared" si="6"/>
        <v>74.959999999999994</v>
      </c>
      <c r="Q16" s="107" t="s">
        <v>22</v>
      </c>
      <c r="R16" s="107">
        <f>MATRIZ!$I$382</f>
        <v>2.87</v>
      </c>
      <c r="S16" s="318">
        <f t="shared" si="7"/>
        <v>3526.0499999999993</v>
      </c>
    </row>
    <row r="17" spans="2:19" s="1" customFormat="1" ht="15" x14ac:dyDescent="0.2">
      <c r="B17" s="332" t="s">
        <v>51</v>
      </c>
      <c r="C17" s="237">
        <f>F16+0.01</f>
        <v>491603.31</v>
      </c>
      <c r="D17" s="4"/>
      <c r="E17" s="19" t="s">
        <v>644</v>
      </c>
      <c r="F17" s="312"/>
      <c r="H17" s="17">
        <f>MATRIZ!I66</f>
        <v>220.93</v>
      </c>
      <c r="I17" s="310" t="s">
        <v>424</v>
      </c>
      <c r="J17" s="107">
        <f t="shared" si="1"/>
        <v>220.93</v>
      </c>
      <c r="K17" s="107">
        <f t="shared" si="2"/>
        <v>4.41</v>
      </c>
      <c r="L17" s="107">
        <f t="shared" si="3"/>
        <v>44.18</v>
      </c>
      <c r="M17" s="107">
        <f t="shared" si="4"/>
        <v>11.04</v>
      </c>
      <c r="N17" s="107">
        <f t="shared" si="5"/>
        <v>11.04</v>
      </c>
      <c r="O17" s="107">
        <f t="shared" si="0"/>
        <v>13.25</v>
      </c>
      <c r="P17" s="107">
        <f t="shared" si="6"/>
        <v>6.62</v>
      </c>
      <c r="Q17" s="107" t="s">
        <v>22</v>
      </c>
      <c r="R17" s="107" t="s">
        <v>22</v>
      </c>
      <c r="S17" s="318">
        <f t="shared" si="7"/>
        <v>311.47000000000003</v>
      </c>
    </row>
    <row r="18" spans="2:19" s="1" customFormat="1" ht="4.5" customHeight="1" x14ac:dyDescent="0.2">
      <c r="B18" s="287"/>
      <c r="C18" s="7"/>
      <c r="D18" s="7"/>
      <c r="E18" s="7"/>
      <c r="F18" s="7"/>
      <c r="H18" s="107"/>
      <c r="I18" s="7"/>
      <c r="J18" s="16"/>
      <c r="K18" s="107"/>
      <c r="L18" s="107"/>
      <c r="M18" s="107"/>
      <c r="N18" s="7"/>
      <c r="O18" s="107"/>
      <c r="P18" s="107"/>
      <c r="Q18" s="15"/>
      <c r="R18" s="7"/>
      <c r="S18" s="318"/>
    </row>
    <row r="19" spans="2:19" s="2" customFormat="1" ht="11.25" customHeight="1" x14ac:dyDescent="0.25">
      <c r="B19" s="337" t="s">
        <v>480</v>
      </c>
      <c r="C19" s="335"/>
      <c r="D19" s="335"/>
      <c r="E19" s="335"/>
      <c r="F19" s="335"/>
      <c r="G19" s="16"/>
      <c r="H19" s="16"/>
      <c r="I19" s="16"/>
      <c r="J19" s="16"/>
      <c r="K19" s="968">
        <f>MATRIZ!I67</f>
        <v>80763.600000000006</v>
      </c>
      <c r="L19" s="969"/>
      <c r="M19" s="107"/>
      <c r="N19" s="107"/>
      <c r="O19" s="107"/>
      <c r="P19" s="107"/>
      <c r="Q19" s="317"/>
      <c r="R19" s="317"/>
      <c r="S19" s="318"/>
    </row>
    <row r="20" spans="2:19" s="1" customFormat="1" ht="12" customHeight="1" thickBot="1" x14ac:dyDescent="0.25">
      <c r="B20" s="288"/>
      <c r="C20" s="20"/>
      <c r="D20" s="20"/>
      <c r="E20" s="20"/>
      <c r="F20" s="20"/>
      <c r="G20" s="470"/>
      <c r="H20" s="470"/>
      <c r="I20" s="132"/>
      <c r="J20" s="879"/>
      <c r="K20" s="879"/>
      <c r="L20" s="132"/>
      <c r="M20" s="132"/>
      <c r="N20" s="132"/>
      <c r="O20" s="132"/>
      <c r="P20" s="132"/>
      <c r="Q20" s="20"/>
      <c r="R20" s="21"/>
      <c r="S20" s="289"/>
    </row>
    <row r="21" spans="2:19" s="1" customFormat="1" ht="30" customHeight="1" x14ac:dyDescent="0.2">
      <c r="B21" s="882" t="s">
        <v>486</v>
      </c>
      <c r="C21" s="883"/>
      <c r="D21" s="883"/>
      <c r="E21" s="883"/>
      <c r="F21" s="883"/>
      <c r="G21" s="884"/>
      <c r="H21" s="865" t="s">
        <v>45</v>
      </c>
      <c r="I21" s="275" t="s">
        <v>35</v>
      </c>
      <c r="J21" s="870" t="s">
        <v>3</v>
      </c>
      <c r="K21" s="469">
        <v>0.02</v>
      </c>
      <c r="L21" s="11">
        <v>0.2</v>
      </c>
      <c r="M21" s="469">
        <v>0.05</v>
      </c>
      <c r="N21" s="469">
        <v>0.05</v>
      </c>
      <c r="O21" s="469">
        <v>0.06</v>
      </c>
      <c r="P21" s="872" t="s">
        <v>5</v>
      </c>
      <c r="Q21" s="874" t="s">
        <v>36</v>
      </c>
      <c r="R21" s="874" t="s">
        <v>6</v>
      </c>
      <c r="S21" s="863" t="s">
        <v>37</v>
      </c>
    </row>
    <row r="22" spans="2:19" s="1" customFormat="1" ht="15.75" customHeight="1" thickBot="1" x14ac:dyDescent="0.25">
      <c r="B22" s="885"/>
      <c r="C22" s="886"/>
      <c r="D22" s="886"/>
      <c r="E22" s="886"/>
      <c r="F22" s="886"/>
      <c r="G22" s="887"/>
      <c r="H22" s="866"/>
      <c r="I22" s="276" t="s">
        <v>39</v>
      </c>
      <c r="J22" s="888"/>
      <c r="K22" s="12" t="s">
        <v>40</v>
      </c>
      <c r="L22" s="13" t="s">
        <v>41</v>
      </c>
      <c r="M22" s="12" t="s">
        <v>42</v>
      </c>
      <c r="N22" s="12" t="s">
        <v>43</v>
      </c>
      <c r="O22" s="12" t="s">
        <v>44</v>
      </c>
      <c r="P22" s="889"/>
      <c r="Q22" s="785"/>
      <c r="R22" s="785"/>
      <c r="S22" s="864"/>
    </row>
    <row r="23" spans="2:19" s="1" customFormat="1" ht="6" customHeight="1" x14ac:dyDescent="0.2">
      <c r="B23" s="474"/>
      <c r="C23" s="475"/>
      <c r="D23" s="475"/>
      <c r="E23" s="475"/>
      <c r="F23" s="475"/>
      <c r="G23" s="475"/>
      <c r="H23" s="111"/>
      <c r="I23" s="16"/>
      <c r="J23" s="279"/>
      <c r="K23" s="280"/>
      <c r="L23" s="280"/>
      <c r="M23" s="280"/>
      <c r="N23" s="280"/>
      <c r="O23" s="280"/>
      <c r="P23" s="281"/>
      <c r="Q23" s="282"/>
      <c r="R23" s="282"/>
      <c r="S23" s="297"/>
    </row>
    <row r="24" spans="2:19" s="1" customFormat="1" ht="12.75" x14ac:dyDescent="0.2">
      <c r="B24" s="52">
        <f>B9</f>
        <v>0.01</v>
      </c>
      <c r="C24" s="113"/>
      <c r="D24" s="113" t="s">
        <v>11</v>
      </c>
      <c r="E24" s="113"/>
      <c r="F24" s="312">
        <f>F9</f>
        <v>18435.099999999999</v>
      </c>
      <c r="H24" s="17">
        <f>MATRIZ!I58</f>
        <v>286.39</v>
      </c>
      <c r="I24" s="16">
        <f>MATRIZ!$I$102</f>
        <v>32.29</v>
      </c>
      <c r="J24" s="107">
        <f t="shared" ref="J24" si="8">SUM(H24:I24)</f>
        <v>318.68</v>
      </c>
      <c r="K24" s="107">
        <f t="shared" ref="K24:K32" si="9">TRUNC(J24*2%,2)</f>
        <v>6.37</v>
      </c>
      <c r="L24" s="107">
        <f t="shared" ref="L24" si="10">TRUNC(J24*20%,2)</f>
        <v>63.73</v>
      </c>
      <c r="M24" s="107">
        <f t="shared" ref="M24" si="11">TRUNC(J24*5%,2)</f>
        <v>15.93</v>
      </c>
      <c r="N24" s="107">
        <f t="shared" ref="N24:N32" si="12">M24</f>
        <v>15.93</v>
      </c>
      <c r="O24" s="107">
        <f>TRUNC(J24*6%,2)</f>
        <v>19.12</v>
      </c>
      <c r="P24" s="107">
        <f t="shared" ref="P24" si="13">TRUNC(J24*3%,2)</f>
        <v>9.56</v>
      </c>
      <c r="Q24" s="115">
        <f>MATRIZ!$I$386</f>
        <v>42.28</v>
      </c>
      <c r="R24" s="107">
        <f>MATRIZ!$I$382</f>
        <v>2.87</v>
      </c>
      <c r="S24" s="318">
        <f t="shared" ref="S24" si="14">SUM(J24:R24)</f>
        <v>494.47</v>
      </c>
    </row>
    <row r="25" spans="2:19" s="1" customFormat="1" ht="12.75" x14ac:dyDescent="0.2">
      <c r="B25" s="52">
        <f t="shared" ref="B25:B31" si="15">B10</f>
        <v>18435.109999999997</v>
      </c>
      <c r="C25" s="113"/>
      <c r="D25" s="113" t="s">
        <v>11</v>
      </c>
      <c r="E25" s="113"/>
      <c r="F25" s="312">
        <f t="shared" ref="F25:F31" si="16">F10</f>
        <v>36870.230000000003</v>
      </c>
      <c r="H25" s="17">
        <f>MATRIZ!I59</f>
        <v>473.23</v>
      </c>
      <c r="I25" s="16">
        <f>MATRIZ!$I$102</f>
        <v>32.29</v>
      </c>
      <c r="J25" s="107">
        <f t="shared" ref="J25:J32" si="17">SUM(H25:I25)</f>
        <v>505.52000000000004</v>
      </c>
      <c r="K25" s="107">
        <f t="shared" si="9"/>
        <v>10.11</v>
      </c>
      <c r="L25" s="107">
        <f t="shared" ref="L25:L32" si="18">TRUNC(J25*20%,2)</f>
        <v>101.1</v>
      </c>
      <c r="M25" s="107">
        <f t="shared" ref="M25:M32" si="19">TRUNC(J25*5%,2)</f>
        <v>25.27</v>
      </c>
      <c r="N25" s="107">
        <f t="shared" si="12"/>
        <v>25.27</v>
      </c>
      <c r="O25" s="107">
        <f t="shared" ref="O25:O32" si="20">TRUNC(J25*6%,2)</f>
        <v>30.33</v>
      </c>
      <c r="P25" s="107">
        <f t="shared" ref="P25:P32" si="21">TRUNC(J25*3%,2)</f>
        <v>15.16</v>
      </c>
      <c r="Q25" s="115">
        <f>MATRIZ!$I$386</f>
        <v>42.28</v>
      </c>
      <c r="R25" s="107">
        <f>MATRIZ!$I$382</f>
        <v>2.87</v>
      </c>
      <c r="S25" s="318">
        <f t="shared" ref="S25:S32" si="22">SUM(J25:R25)</f>
        <v>757.91</v>
      </c>
    </row>
    <row r="26" spans="2:19" s="1" customFormat="1" ht="12.75" x14ac:dyDescent="0.2">
      <c r="B26" s="52">
        <f t="shared" si="15"/>
        <v>36870.240000000005</v>
      </c>
      <c r="C26" s="113"/>
      <c r="D26" s="113" t="s">
        <v>11</v>
      </c>
      <c r="E26" s="113"/>
      <c r="F26" s="312">
        <f t="shared" si="16"/>
        <v>55305.35</v>
      </c>
      <c r="H26" s="17">
        <f>MATRIZ!I60</f>
        <v>660.14</v>
      </c>
      <c r="I26" s="16">
        <f>MATRIZ!$I$102</f>
        <v>32.29</v>
      </c>
      <c r="J26" s="107">
        <f t="shared" si="17"/>
        <v>692.43</v>
      </c>
      <c r="K26" s="107">
        <f t="shared" si="9"/>
        <v>13.84</v>
      </c>
      <c r="L26" s="107">
        <f t="shared" si="18"/>
        <v>138.47999999999999</v>
      </c>
      <c r="M26" s="107">
        <f t="shared" si="19"/>
        <v>34.619999999999997</v>
      </c>
      <c r="N26" s="107">
        <f t="shared" si="12"/>
        <v>34.619999999999997</v>
      </c>
      <c r="O26" s="107">
        <f t="shared" si="20"/>
        <v>41.54</v>
      </c>
      <c r="P26" s="107">
        <f t="shared" si="21"/>
        <v>20.77</v>
      </c>
      <c r="Q26" s="115">
        <f>MATRIZ!$I$386</f>
        <v>42.28</v>
      </c>
      <c r="R26" s="107">
        <f>MATRIZ!$I$382</f>
        <v>2.87</v>
      </c>
      <c r="S26" s="318">
        <f t="shared" si="22"/>
        <v>1021.4499999999999</v>
      </c>
    </row>
    <row r="27" spans="2:19" s="1" customFormat="1" ht="12.75" customHeight="1" x14ac:dyDescent="0.2">
      <c r="B27" s="52">
        <f t="shared" si="15"/>
        <v>55305.36</v>
      </c>
      <c r="C27" s="113"/>
      <c r="D27" s="113" t="s">
        <v>11</v>
      </c>
      <c r="E27" s="113"/>
      <c r="F27" s="312">
        <f t="shared" si="16"/>
        <v>73740.490000000005</v>
      </c>
      <c r="H27" s="17">
        <f>MATRIZ!I61</f>
        <v>809.58</v>
      </c>
      <c r="I27" s="16">
        <f>MATRIZ!$I$102</f>
        <v>32.29</v>
      </c>
      <c r="J27" s="107">
        <f t="shared" si="17"/>
        <v>841.87</v>
      </c>
      <c r="K27" s="107">
        <f t="shared" si="9"/>
        <v>16.829999999999998</v>
      </c>
      <c r="L27" s="107">
        <f t="shared" si="18"/>
        <v>168.37</v>
      </c>
      <c r="M27" s="107">
        <f t="shared" si="19"/>
        <v>42.09</v>
      </c>
      <c r="N27" s="107">
        <f t="shared" si="12"/>
        <v>42.09</v>
      </c>
      <c r="O27" s="107">
        <f t="shared" si="20"/>
        <v>50.51</v>
      </c>
      <c r="P27" s="107">
        <f t="shared" si="21"/>
        <v>25.25</v>
      </c>
      <c r="Q27" s="115">
        <f>MATRIZ!$I$386</f>
        <v>42.28</v>
      </c>
      <c r="R27" s="107">
        <f>MATRIZ!$I$382</f>
        <v>2.87</v>
      </c>
      <c r="S27" s="318">
        <f t="shared" si="22"/>
        <v>1232.1599999999999</v>
      </c>
    </row>
    <row r="28" spans="2:19" s="1" customFormat="1" ht="13.5" customHeight="1" x14ac:dyDescent="0.2">
      <c r="B28" s="52">
        <f t="shared" si="15"/>
        <v>73740.5</v>
      </c>
      <c r="C28" s="113"/>
      <c r="D28" s="113" t="s">
        <v>11</v>
      </c>
      <c r="E28" s="113"/>
      <c r="F28" s="312">
        <f t="shared" si="16"/>
        <v>98320.639999999999</v>
      </c>
      <c r="H28" s="17">
        <f>MATRIZ!I62</f>
        <v>1434.96</v>
      </c>
      <c r="I28" s="16">
        <f>MATRIZ!$I$102</f>
        <v>32.29</v>
      </c>
      <c r="J28" s="107">
        <f t="shared" si="17"/>
        <v>1467.25</v>
      </c>
      <c r="K28" s="107">
        <f t="shared" si="9"/>
        <v>29.34</v>
      </c>
      <c r="L28" s="107">
        <f t="shared" si="18"/>
        <v>293.45</v>
      </c>
      <c r="M28" s="107">
        <f t="shared" si="19"/>
        <v>73.36</v>
      </c>
      <c r="N28" s="107">
        <f t="shared" si="12"/>
        <v>73.36</v>
      </c>
      <c r="O28" s="107">
        <f t="shared" si="20"/>
        <v>88.03</v>
      </c>
      <c r="P28" s="107">
        <f t="shared" si="21"/>
        <v>44.01</v>
      </c>
      <c r="Q28" s="115">
        <f>MATRIZ!$I$386</f>
        <v>42.28</v>
      </c>
      <c r="R28" s="107">
        <f>MATRIZ!$I$382</f>
        <v>2.87</v>
      </c>
      <c r="S28" s="318">
        <f t="shared" si="22"/>
        <v>2113.9499999999998</v>
      </c>
    </row>
    <row r="29" spans="2:19" s="1" customFormat="1" ht="12.75" x14ac:dyDescent="0.2">
      <c r="B29" s="52">
        <f t="shared" si="15"/>
        <v>98320.65</v>
      </c>
      <c r="C29" s="113"/>
      <c r="D29" s="113" t="s">
        <v>11</v>
      </c>
      <c r="E29" s="113"/>
      <c r="F29" s="312">
        <f t="shared" si="16"/>
        <v>122900.81</v>
      </c>
      <c r="H29" s="17">
        <f>MATRIZ!I63</f>
        <v>1694.09</v>
      </c>
      <c r="I29" s="16">
        <f>MATRIZ!$I$102</f>
        <v>32.29</v>
      </c>
      <c r="J29" s="107">
        <f t="shared" si="17"/>
        <v>1726.3799999999999</v>
      </c>
      <c r="K29" s="107">
        <f t="shared" si="9"/>
        <v>34.520000000000003</v>
      </c>
      <c r="L29" s="107">
        <f t="shared" si="18"/>
        <v>345.27</v>
      </c>
      <c r="M29" s="107">
        <f t="shared" si="19"/>
        <v>86.31</v>
      </c>
      <c r="N29" s="107">
        <f t="shared" si="12"/>
        <v>86.31</v>
      </c>
      <c r="O29" s="107">
        <f t="shared" si="20"/>
        <v>103.58</v>
      </c>
      <c r="P29" s="107">
        <f t="shared" si="21"/>
        <v>51.79</v>
      </c>
      <c r="Q29" s="115">
        <f>MATRIZ!$I$386</f>
        <v>42.28</v>
      </c>
      <c r="R29" s="107">
        <f>MATRIZ!$I$382</f>
        <v>2.87</v>
      </c>
      <c r="S29" s="318">
        <f t="shared" si="22"/>
        <v>2479.31</v>
      </c>
    </row>
    <row r="30" spans="2:19" s="1" customFormat="1" ht="12.75" x14ac:dyDescent="0.2">
      <c r="B30" s="52">
        <f t="shared" si="15"/>
        <v>122900.81999999999</v>
      </c>
      <c r="C30" s="113"/>
      <c r="D30" s="113" t="s">
        <v>11</v>
      </c>
      <c r="E30" s="113"/>
      <c r="F30" s="312">
        <f t="shared" si="16"/>
        <v>245801.64</v>
      </c>
      <c r="H30" s="17">
        <f>MATRIZ!I64</f>
        <v>2291.9899999999998</v>
      </c>
      <c r="I30" s="16">
        <f>MATRIZ!$I$102</f>
        <v>32.29</v>
      </c>
      <c r="J30" s="107">
        <f t="shared" si="17"/>
        <v>2324.2799999999997</v>
      </c>
      <c r="K30" s="107">
        <f t="shared" si="9"/>
        <v>46.48</v>
      </c>
      <c r="L30" s="107">
        <f t="shared" si="18"/>
        <v>464.85</v>
      </c>
      <c r="M30" s="107">
        <f t="shared" si="19"/>
        <v>116.21</v>
      </c>
      <c r="N30" s="107">
        <f t="shared" si="12"/>
        <v>116.21</v>
      </c>
      <c r="O30" s="107">
        <f t="shared" si="20"/>
        <v>139.44999999999999</v>
      </c>
      <c r="P30" s="107">
        <f t="shared" si="21"/>
        <v>69.72</v>
      </c>
      <c r="Q30" s="115">
        <f>MATRIZ!$I$386</f>
        <v>42.28</v>
      </c>
      <c r="R30" s="107">
        <f>MATRIZ!$I$382</f>
        <v>2.87</v>
      </c>
      <c r="S30" s="318">
        <f t="shared" si="22"/>
        <v>3322.3499999999995</v>
      </c>
    </row>
    <row r="31" spans="2:19" s="1" customFormat="1" ht="12.75" x14ac:dyDescent="0.2">
      <c r="B31" s="52">
        <f t="shared" si="15"/>
        <v>245801.65000000002</v>
      </c>
      <c r="C31" s="113"/>
      <c r="D31" s="113" t="s">
        <v>11</v>
      </c>
      <c r="E31" s="113"/>
      <c r="F31" s="312">
        <f t="shared" si="16"/>
        <v>491603.3</v>
      </c>
      <c r="H31" s="17">
        <f>MATRIZ!I65</f>
        <v>2466.44</v>
      </c>
      <c r="I31" s="16">
        <f>MATRIZ!$I$102</f>
        <v>32.29</v>
      </c>
      <c r="J31" s="107">
        <f t="shared" si="17"/>
        <v>2498.73</v>
      </c>
      <c r="K31" s="107">
        <f t="shared" si="9"/>
        <v>49.97</v>
      </c>
      <c r="L31" s="107">
        <f t="shared" si="18"/>
        <v>499.74</v>
      </c>
      <c r="M31" s="107">
        <f t="shared" si="19"/>
        <v>124.93</v>
      </c>
      <c r="N31" s="107">
        <f t="shared" si="12"/>
        <v>124.93</v>
      </c>
      <c r="O31" s="107">
        <f t="shared" si="20"/>
        <v>149.91999999999999</v>
      </c>
      <c r="P31" s="107">
        <f t="shared" si="21"/>
        <v>74.959999999999994</v>
      </c>
      <c r="Q31" s="115">
        <f>MATRIZ!$I$386</f>
        <v>42.28</v>
      </c>
      <c r="R31" s="107">
        <f>MATRIZ!$I$382</f>
        <v>2.87</v>
      </c>
      <c r="S31" s="318">
        <f t="shared" si="22"/>
        <v>3568.3299999999995</v>
      </c>
    </row>
    <row r="32" spans="2:19" s="1" customFormat="1" ht="17.25" customHeight="1" x14ac:dyDescent="0.2">
      <c r="B32" s="332" t="s">
        <v>51</v>
      </c>
      <c r="C32" s="237">
        <f>F31+0.01</f>
        <v>491603.31</v>
      </c>
      <c r="D32" s="4"/>
      <c r="E32" s="19" t="str">
        <f>E17</f>
        <v>(A cada 116.113,88, acrescentar...)</v>
      </c>
      <c r="F32" s="312"/>
      <c r="H32" s="17">
        <f>MATRIZ!I66</f>
        <v>220.93</v>
      </c>
      <c r="I32" s="310" t="s">
        <v>424</v>
      </c>
      <c r="J32" s="107">
        <f t="shared" si="17"/>
        <v>220.93</v>
      </c>
      <c r="K32" s="107">
        <f t="shared" si="9"/>
        <v>4.41</v>
      </c>
      <c r="L32" s="107">
        <f t="shared" si="18"/>
        <v>44.18</v>
      </c>
      <c r="M32" s="107">
        <f t="shared" si="19"/>
        <v>11.04</v>
      </c>
      <c r="N32" s="107">
        <f t="shared" si="12"/>
        <v>11.04</v>
      </c>
      <c r="O32" s="107">
        <f t="shared" si="20"/>
        <v>13.25</v>
      </c>
      <c r="P32" s="107">
        <f t="shared" si="21"/>
        <v>6.62</v>
      </c>
      <c r="Q32" s="115" t="s">
        <v>22</v>
      </c>
      <c r="R32" s="107" t="s">
        <v>22</v>
      </c>
      <c r="S32" s="318">
        <f t="shared" si="22"/>
        <v>311.47000000000003</v>
      </c>
    </row>
    <row r="33" spans="2:19" s="1" customFormat="1" ht="6" customHeight="1" x14ac:dyDescent="0.2">
      <c r="B33" s="287"/>
      <c r="C33" s="7"/>
      <c r="D33" s="7"/>
      <c r="E33" s="7"/>
      <c r="F33" s="7"/>
      <c r="H33" s="107"/>
      <c r="I33" s="7"/>
      <c r="J33" s="16"/>
      <c r="K33" s="107"/>
      <c r="L33" s="107"/>
      <c r="M33" s="107"/>
      <c r="N33" s="7"/>
      <c r="O33" s="107"/>
      <c r="P33" s="107"/>
      <c r="Q33" s="15"/>
      <c r="R33" s="7"/>
      <c r="S33" s="318"/>
    </row>
    <row r="34" spans="2:19" s="2" customFormat="1" ht="14.25" customHeight="1" x14ac:dyDescent="0.25">
      <c r="B34" s="334" t="s">
        <v>480</v>
      </c>
      <c r="C34" s="335"/>
      <c r="D34" s="335"/>
      <c r="E34" s="335"/>
      <c r="F34" s="335"/>
      <c r="G34" s="16"/>
      <c r="H34" s="336"/>
      <c r="I34" s="16"/>
      <c r="J34" s="16"/>
      <c r="K34" s="968">
        <f>MATRIZ!I67</f>
        <v>80763.600000000006</v>
      </c>
      <c r="L34" s="969"/>
      <c r="M34" s="107"/>
      <c r="N34" s="107"/>
      <c r="O34" s="107"/>
      <c r="P34" s="107"/>
      <c r="Q34" s="317"/>
      <c r="R34" s="317"/>
      <c r="S34" s="318"/>
    </row>
    <row r="35" spans="2:19" s="1" customFormat="1" ht="11.25" customHeight="1" thickBot="1" x14ac:dyDescent="0.25">
      <c r="B35" s="890"/>
      <c r="C35" s="891"/>
      <c r="D35" s="891"/>
      <c r="E35" s="891"/>
      <c r="F35" s="891"/>
      <c r="G35" s="470"/>
      <c r="H35" s="16"/>
      <c r="I35" s="470"/>
      <c r="J35" s="470"/>
      <c r="K35" s="23"/>
      <c r="L35" s="24"/>
      <c r="M35" s="25"/>
      <c r="N35" s="25"/>
      <c r="O35" s="25"/>
      <c r="P35" s="25"/>
      <c r="Q35" s="26"/>
      <c r="R35" s="25"/>
      <c r="S35" s="289"/>
    </row>
    <row r="36" spans="2:19" s="1" customFormat="1" ht="16.5" customHeight="1" x14ac:dyDescent="0.2">
      <c r="B36" s="882" t="s">
        <v>52</v>
      </c>
      <c r="C36" s="883"/>
      <c r="D36" s="883"/>
      <c r="E36" s="883"/>
      <c r="F36" s="883"/>
      <c r="G36" s="884"/>
      <c r="H36" s="865" t="s">
        <v>45</v>
      </c>
      <c r="I36" s="275" t="s">
        <v>35</v>
      </c>
      <c r="J36" s="870" t="s">
        <v>3</v>
      </c>
      <c r="K36" s="469">
        <v>0.02</v>
      </c>
      <c r="L36" s="11">
        <v>0.2</v>
      </c>
      <c r="M36" s="469">
        <v>0.05</v>
      </c>
      <c r="N36" s="469">
        <v>0.05</v>
      </c>
      <c r="O36" s="469">
        <v>0.06</v>
      </c>
      <c r="P36" s="872" t="s">
        <v>5</v>
      </c>
      <c r="Q36" s="874" t="s">
        <v>36</v>
      </c>
      <c r="R36" s="874" t="s">
        <v>6</v>
      </c>
      <c r="S36" s="863" t="s">
        <v>37</v>
      </c>
    </row>
    <row r="37" spans="2:19" s="1" customFormat="1" ht="20.25" customHeight="1" thickBot="1" x14ac:dyDescent="0.25">
      <c r="B37" s="885"/>
      <c r="C37" s="886"/>
      <c r="D37" s="886"/>
      <c r="E37" s="886"/>
      <c r="F37" s="886"/>
      <c r="G37" s="887"/>
      <c r="H37" s="866"/>
      <c r="I37" s="276" t="s">
        <v>39</v>
      </c>
      <c r="J37" s="888"/>
      <c r="K37" s="12" t="s">
        <v>40</v>
      </c>
      <c r="L37" s="13" t="s">
        <v>41</v>
      </c>
      <c r="M37" s="12" t="s">
        <v>42</v>
      </c>
      <c r="N37" s="12" t="s">
        <v>43</v>
      </c>
      <c r="O37" s="12" t="s">
        <v>44</v>
      </c>
      <c r="P37" s="889"/>
      <c r="Q37" s="785"/>
      <c r="R37" s="785"/>
      <c r="S37" s="864"/>
    </row>
    <row r="38" spans="2:19" s="1" customFormat="1" ht="7.5" customHeight="1" x14ac:dyDescent="0.2">
      <c r="B38" s="474"/>
      <c r="C38" s="475"/>
      <c r="D38" s="475"/>
      <c r="E38" s="475"/>
      <c r="F38" s="475"/>
      <c r="G38" s="475"/>
      <c r="H38" s="111"/>
      <c r="I38" s="16"/>
      <c r="J38" s="279"/>
      <c r="K38" s="280"/>
      <c r="L38" s="280"/>
      <c r="M38" s="280"/>
      <c r="N38" s="280"/>
      <c r="O38" s="280"/>
      <c r="P38" s="281"/>
      <c r="Q38" s="282"/>
      <c r="R38" s="282"/>
      <c r="S38" s="297"/>
    </row>
    <row r="39" spans="2:19" s="1" customFormat="1" ht="12.75" x14ac:dyDescent="0.2">
      <c r="B39" s="52">
        <f>B24</f>
        <v>0.01</v>
      </c>
      <c r="C39" s="113"/>
      <c r="D39" s="113" t="s">
        <v>11</v>
      </c>
      <c r="E39" s="113"/>
      <c r="F39" s="312">
        <f>F24</f>
        <v>18435.099999999999</v>
      </c>
      <c r="H39" s="17">
        <f>MATRIZ!I58</f>
        <v>286.39</v>
      </c>
      <c r="I39" s="16">
        <f>MATRIZ!$I$102</f>
        <v>32.29</v>
      </c>
      <c r="J39" s="107">
        <f t="shared" ref="J39" si="23">SUM(H39:I39)</f>
        <v>318.68</v>
      </c>
      <c r="K39" s="107">
        <f t="shared" ref="K39:K47" si="24">TRUNC(J39*2%,2)</f>
        <v>6.37</v>
      </c>
      <c r="L39" s="107" t="s">
        <v>22</v>
      </c>
      <c r="M39" s="107" t="s">
        <v>22</v>
      </c>
      <c r="N39" s="107" t="s">
        <v>22</v>
      </c>
      <c r="O39" s="107" t="s">
        <v>22</v>
      </c>
      <c r="P39" s="107">
        <f t="shared" ref="P39:P47" si="25">TRUNC(J39*3%,2)</f>
        <v>9.56</v>
      </c>
      <c r="Q39" s="4">
        <f>MATRIZ!$I$386</f>
        <v>42.28</v>
      </c>
      <c r="R39" s="107">
        <f>MATRIZ!$I$382</f>
        <v>2.87</v>
      </c>
      <c r="S39" s="318">
        <f t="shared" ref="S39:S47" si="26">SUM(J39:R39)</f>
        <v>379.76</v>
      </c>
    </row>
    <row r="40" spans="2:19" s="1" customFormat="1" ht="12.75" x14ac:dyDescent="0.2">
      <c r="B40" s="52">
        <f t="shared" ref="B40:B46" si="27">B25</f>
        <v>18435.109999999997</v>
      </c>
      <c r="C40" s="113"/>
      <c r="D40" s="113" t="s">
        <v>11</v>
      </c>
      <c r="E40" s="113"/>
      <c r="F40" s="312">
        <f t="shared" ref="F40:F46" si="28">F25</f>
        <v>36870.230000000003</v>
      </c>
      <c r="H40" s="17">
        <f>MATRIZ!I59</f>
        <v>473.23</v>
      </c>
      <c r="I40" s="16">
        <f>MATRIZ!$I$102</f>
        <v>32.29</v>
      </c>
      <c r="J40" s="107">
        <f t="shared" ref="J40:J47" si="29">SUM(H40:I40)</f>
        <v>505.52000000000004</v>
      </c>
      <c r="K40" s="107">
        <f t="shared" si="24"/>
        <v>10.11</v>
      </c>
      <c r="L40" s="107" t="s">
        <v>22</v>
      </c>
      <c r="M40" s="107" t="s">
        <v>22</v>
      </c>
      <c r="N40" s="107" t="s">
        <v>22</v>
      </c>
      <c r="O40" s="107" t="s">
        <v>22</v>
      </c>
      <c r="P40" s="107">
        <f t="shared" si="25"/>
        <v>15.16</v>
      </c>
      <c r="Q40" s="4">
        <f>MATRIZ!$I$386</f>
        <v>42.28</v>
      </c>
      <c r="R40" s="107">
        <f>MATRIZ!$I$382</f>
        <v>2.87</v>
      </c>
      <c r="S40" s="318">
        <f t="shared" si="26"/>
        <v>575.93999999999994</v>
      </c>
    </row>
    <row r="41" spans="2:19" s="1" customFormat="1" ht="12.75" x14ac:dyDescent="0.2">
      <c r="B41" s="52">
        <f t="shared" si="27"/>
        <v>36870.240000000005</v>
      </c>
      <c r="C41" s="113"/>
      <c r="D41" s="113" t="s">
        <v>11</v>
      </c>
      <c r="E41" s="113"/>
      <c r="F41" s="312">
        <f t="shared" si="28"/>
        <v>55305.35</v>
      </c>
      <c r="H41" s="17">
        <f>MATRIZ!I60</f>
        <v>660.14</v>
      </c>
      <c r="I41" s="16">
        <f>MATRIZ!$I$102</f>
        <v>32.29</v>
      </c>
      <c r="J41" s="107">
        <f t="shared" si="29"/>
        <v>692.43</v>
      </c>
      <c r="K41" s="107">
        <f t="shared" si="24"/>
        <v>13.84</v>
      </c>
      <c r="L41" s="107" t="s">
        <v>22</v>
      </c>
      <c r="M41" s="107" t="s">
        <v>22</v>
      </c>
      <c r="N41" s="107" t="s">
        <v>22</v>
      </c>
      <c r="O41" s="107" t="s">
        <v>22</v>
      </c>
      <c r="P41" s="107">
        <f t="shared" si="25"/>
        <v>20.77</v>
      </c>
      <c r="Q41" s="4">
        <f>MATRIZ!$I$386</f>
        <v>42.28</v>
      </c>
      <c r="R41" s="107">
        <f>MATRIZ!$I$382</f>
        <v>2.87</v>
      </c>
      <c r="S41" s="318">
        <f t="shared" si="26"/>
        <v>772.18999999999994</v>
      </c>
    </row>
    <row r="42" spans="2:19" s="1" customFormat="1" ht="12.75" customHeight="1" x14ac:dyDescent="0.2">
      <c r="B42" s="52">
        <f t="shared" si="27"/>
        <v>55305.36</v>
      </c>
      <c r="C42" s="113"/>
      <c r="D42" s="113" t="s">
        <v>11</v>
      </c>
      <c r="E42" s="113"/>
      <c r="F42" s="312">
        <f t="shared" si="28"/>
        <v>73740.490000000005</v>
      </c>
      <c r="H42" s="17">
        <f>MATRIZ!I61</f>
        <v>809.58</v>
      </c>
      <c r="I42" s="16">
        <f>MATRIZ!$I$102</f>
        <v>32.29</v>
      </c>
      <c r="J42" s="107">
        <f t="shared" si="29"/>
        <v>841.87</v>
      </c>
      <c r="K42" s="107">
        <f t="shared" si="24"/>
        <v>16.829999999999998</v>
      </c>
      <c r="L42" s="107" t="s">
        <v>22</v>
      </c>
      <c r="M42" s="107" t="s">
        <v>22</v>
      </c>
      <c r="N42" s="107" t="s">
        <v>22</v>
      </c>
      <c r="O42" s="107" t="s">
        <v>22</v>
      </c>
      <c r="P42" s="107">
        <f t="shared" si="25"/>
        <v>25.25</v>
      </c>
      <c r="Q42" s="4">
        <f>MATRIZ!$I$386</f>
        <v>42.28</v>
      </c>
      <c r="R42" s="107">
        <f>MATRIZ!$I$382</f>
        <v>2.87</v>
      </c>
      <c r="S42" s="318">
        <f t="shared" si="26"/>
        <v>929.1</v>
      </c>
    </row>
    <row r="43" spans="2:19" s="1" customFormat="1" ht="13.5" customHeight="1" x14ac:dyDescent="0.2">
      <c r="B43" s="52">
        <f t="shared" si="27"/>
        <v>73740.5</v>
      </c>
      <c r="C43" s="113"/>
      <c r="D43" s="113" t="s">
        <v>11</v>
      </c>
      <c r="E43" s="113"/>
      <c r="F43" s="312">
        <f t="shared" si="28"/>
        <v>98320.639999999999</v>
      </c>
      <c r="H43" s="17">
        <f>MATRIZ!I62</f>
        <v>1434.96</v>
      </c>
      <c r="I43" s="16">
        <f>MATRIZ!$I$102</f>
        <v>32.29</v>
      </c>
      <c r="J43" s="107">
        <f t="shared" si="29"/>
        <v>1467.25</v>
      </c>
      <c r="K43" s="107">
        <f t="shared" si="24"/>
        <v>29.34</v>
      </c>
      <c r="L43" s="107" t="s">
        <v>22</v>
      </c>
      <c r="M43" s="107" t="s">
        <v>22</v>
      </c>
      <c r="N43" s="107" t="s">
        <v>22</v>
      </c>
      <c r="O43" s="107" t="s">
        <v>22</v>
      </c>
      <c r="P43" s="107">
        <f t="shared" si="25"/>
        <v>44.01</v>
      </c>
      <c r="Q43" s="4">
        <f>MATRIZ!$I$386</f>
        <v>42.28</v>
      </c>
      <c r="R43" s="107">
        <f>MATRIZ!$I$382</f>
        <v>2.87</v>
      </c>
      <c r="S43" s="318">
        <f t="shared" si="26"/>
        <v>1585.7499999999998</v>
      </c>
    </row>
    <row r="44" spans="2:19" s="1" customFormat="1" ht="12.75" x14ac:dyDescent="0.2">
      <c r="B44" s="52">
        <f t="shared" si="27"/>
        <v>98320.65</v>
      </c>
      <c r="C44" s="113"/>
      <c r="D44" s="113" t="s">
        <v>11</v>
      </c>
      <c r="E44" s="113"/>
      <c r="F44" s="312">
        <f t="shared" si="28"/>
        <v>122900.81</v>
      </c>
      <c r="H44" s="17">
        <f>MATRIZ!I63</f>
        <v>1694.09</v>
      </c>
      <c r="I44" s="16">
        <f>MATRIZ!$I$102</f>
        <v>32.29</v>
      </c>
      <c r="J44" s="107">
        <f t="shared" si="29"/>
        <v>1726.3799999999999</v>
      </c>
      <c r="K44" s="107">
        <f t="shared" si="24"/>
        <v>34.520000000000003</v>
      </c>
      <c r="L44" s="107" t="s">
        <v>22</v>
      </c>
      <c r="M44" s="107" t="s">
        <v>22</v>
      </c>
      <c r="N44" s="107" t="s">
        <v>22</v>
      </c>
      <c r="O44" s="107" t="s">
        <v>22</v>
      </c>
      <c r="P44" s="107">
        <f t="shared" si="25"/>
        <v>51.79</v>
      </c>
      <c r="Q44" s="4">
        <f>MATRIZ!$I$386</f>
        <v>42.28</v>
      </c>
      <c r="R44" s="107">
        <f>MATRIZ!$I$382</f>
        <v>2.87</v>
      </c>
      <c r="S44" s="318">
        <f t="shared" si="26"/>
        <v>1857.8399999999997</v>
      </c>
    </row>
    <row r="45" spans="2:19" s="1" customFormat="1" ht="12.75" x14ac:dyDescent="0.2">
      <c r="B45" s="52">
        <f t="shared" si="27"/>
        <v>122900.81999999999</v>
      </c>
      <c r="C45" s="113"/>
      <c r="D45" s="113" t="s">
        <v>11</v>
      </c>
      <c r="E45" s="113"/>
      <c r="F45" s="312">
        <f t="shared" si="28"/>
        <v>245801.64</v>
      </c>
      <c r="H45" s="17">
        <f>MATRIZ!I64</f>
        <v>2291.9899999999998</v>
      </c>
      <c r="I45" s="16">
        <f>MATRIZ!$I$102</f>
        <v>32.29</v>
      </c>
      <c r="J45" s="107">
        <f t="shared" si="29"/>
        <v>2324.2799999999997</v>
      </c>
      <c r="K45" s="107">
        <f t="shared" si="24"/>
        <v>46.48</v>
      </c>
      <c r="L45" s="107" t="s">
        <v>22</v>
      </c>
      <c r="M45" s="107" t="s">
        <v>22</v>
      </c>
      <c r="N45" s="107" t="s">
        <v>22</v>
      </c>
      <c r="O45" s="107" t="s">
        <v>22</v>
      </c>
      <c r="P45" s="107">
        <f t="shared" si="25"/>
        <v>69.72</v>
      </c>
      <c r="Q45" s="4">
        <f>MATRIZ!$I$386</f>
        <v>42.28</v>
      </c>
      <c r="R45" s="107">
        <f>MATRIZ!$I$382</f>
        <v>2.87</v>
      </c>
      <c r="S45" s="318">
        <f t="shared" si="26"/>
        <v>2485.6299999999997</v>
      </c>
    </row>
    <row r="46" spans="2:19" s="1" customFormat="1" ht="12.75" x14ac:dyDescent="0.2">
      <c r="B46" s="52">
        <f t="shared" si="27"/>
        <v>245801.65000000002</v>
      </c>
      <c r="C46" s="113"/>
      <c r="D46" s="113" t="s">
        <v>11</v>
      </c>
      <c r="E46" s="113"/>
      <c r="F46" s="312">
        <f t="shared" si="28"/>
        <v>491603.3</v>
      </c>
      <c r="H46" s="17">
        <f>MATRIZ!I65</f>
        <v>2466.44</v>
      </c>
      <c r="I46" s="16">
        <f>MATRIZ!$I$102</f>
        <v>32.29</v>
      </c>
      <c r="J46" s="107">
        <f t="shared" si="29"/>
        <v>2498.73</v>
      </c>
      <c r="K46" s="107">
        <f t="shared" si="24"/>
        <v>49.97</v>
      </c>
      <c r="L46" s="107" t="s">
        <v>22</v>
      </c>
      <c r="M46" s="107" t="s">
        <v>22</v>
      </c>
      <c r="N46" s="107" t="s">
        <v>22</v>
      </c>
      <c r="O46" s="107" t="s">
        <v>22</v>
      </c>
      <c r="P46" s="107">
        <f t="shared" si="25"/>
        <v>74.959999999999994</v>
      </c>
      <c r="Q46" s="4">
        <f>MATRIZ!$I$386</f>
        <v>42.28</v>
      </c>
      <c r="R46" s="107">
        <f>MATRIZ!$I$382</f>
        <v>2.87</v>
      </c>
      <c r="S46" s="318">
        <f t="shared" si="26"/>
        <v>2668.81</v>
      </c>
    </row>
    <row r="47" spans="2:19" s="1" customFormat="1" ht="15" x14ac:dyDescent="0.2">
      <c r="B47" s="332" t="s">
        <v>51</v>
      </c>
      <c r="C47" s="237">
        <f>C32</f>
        <v>491603.31</v>
      </c>
      <c r="D47" s="4"/>
      <c r="E47" s="19" t="str">
        <f>E32</f>
        <v>(A cada 116.113,88, acrescentar...)</v>
      </c>
      <c r="F47" s="312"/>
      <c r="H47" s="17">
        <f>MATRIZ!I66</f>
        <v>220.93</v>
      </c>
      <c r="I47" s="310" t="s">
        <v>424</v>
      </c>
      <c r="J47" s="107">
        <f t="shared" si="29"/>
        <v>220.93</v>
      </c>
      <c r="K47" s="107">
        <f t="shared" si="24"/>
        <v>4.41</v>
      </c>
      <c r="L47" s="107" t="s">
        <v>22</v>
      </c>
      <c r="M47" s="107" t="s">
        <v>22</v>
      </c>
      <c r="N47" s="107" t="s">
        <v>22</v>
      </c>
      <c r="O47" s="107" t="s">
        <v>22</v>
      </c>
      <c r="P47" s="107">
        <f t="shared" si="25"/>
        <v>6.62</v>
      </c>
      <c r="Q47" s="317" t="s">
        <v>22</v>
      </c>
      <c r="R47" s="317" t="s">
        <v>22</v>
      </c>
      <c r="S47" s="318">
        <f t="shared" si="26"/>
        <v>231.96</v>
      </c>
    </row>
    <row r="48" spans="2:19" s="1" customFormat="1" ht="4.5" customHeight="1" x14ac:dyDescent="0.2">
      <c r="B48" s="761"/>
      <c r="C48" s="762"/>
      <c r="D48" s="762"/>
      <c r="E48" s="762"/>
      <c r="F48" s="762"/>
      <c r="G48" s="16"/>
      <c r="H48" s="16"/>
      <c r="I48" s="16"/>
      <c r="J48" s="16"/>
      <c r="K48" s="111"/>
      <c r="L48" s="116"/>
      <c r="Q48" s="9"/>
      <c r="S48" s="318"/>
    </row>
    <row r="49" spans="2:19" s="1" customFormat="1" ht="12" customHeight="1" x14ac:dyDescent="0.2">
      <c r="B49" s="915" t="s">
        <v>481</v>
      </c>
      <c r="C49" s="916"/>
      <c r="D49" s="916"/>
      <c r="E49" s="916"/>
      <c r="F49" s="916"/>
      <c r="G49" s="916"/>
      <c r="H49" s="916"/>
      <c r="I49" s="916"/>
      <c r="J49" s="467"/>
      <c r="K49" s="968">
        <f>MATRIZ!I95</f>
        <v>40381.800000000003</v>
      </c>
      <c r="L49" s="969"/>
      <c r="M49" s="467"/>
      <c r="N49" s="467"/>
      <c r="O49" s="467"/>
      <c r="P49" s="467"/>
      <c r="Q49" s="467"/>
      <c r="R49" s="467"/>
      <c r="S49" s="290"/>
    </row>
    <row r="50" spans="2:19" s="1" customFormat="1" ht="15" customHeight="1" thickBot="1" x14ac:dyDescent="0.25">
      <c r="B50" s="291"/>
      <c r="C50" s="4"/>
      <c r="D50" s="4"/>
      <c r="E50" s="4"/>
      <c r="F50" s="4"/>
      <c r="G50" s="16"/>
      <c r="H50" s="16"/>
      <c r="I50" s="16"/>
      <c r="J50" s="16"/>
      <c r="K50" s="111"/>
      <c r="L50" s="116"/>
      <c r="Q50" s="9"/>
      <c r="S50" s="72"/>
    </row>
    <row r="51" spans="2:19" s="1" customFormat="1" ht="18.75" customHeight="1" x14ac:dyDescent="0.2">
      <c r="B51" s="903" t="s">
        <v>485</v>
      </c>
      <c r="C51" s="904"/>
      <c r="D51" s="904"/>
      <c r="E51" s="904"/>
      <c r="F51" s="904"/>
      <c r="G51" s="904"/>
      <c r="H51" s="880" t="s">
        <v>45</v>
      </c>
      <c r="I51" s="10" t="s">
        <v>35</v>
      </c>
      <c r="J51" s="870" t="s">
        <v>3</v>
      </c>
      <c r="K51" s="469">
        <v>0.02</v>
      </c>
      <c r="L51" s="11">
        <v>0.2</v>
      </c>
      <c r="M51" s="469">
        <v>0.05</v>
      </c>
      <c r="N51" s="469">
        <v>0.05</v>
      </c>
      <c r="O51" s="469">
        <v>0.06</v>
      </c>
      <c r="P51" s="872" t="s">
        <v>5</v>
      </c>
      <c r="Q51" s="874" t="s">
        <v>36</v>
      </c>
      <c r="R51" s="874" t="s">
        <v>6</v>
      </c>
      <c r="S51" s="905" t="s">
        <v>7</v>
      </c>
    </row>
    <row r="52" spans="2:19" s="1" customFormat="1" ht="15.75" customHeight="1" thickBot="1" x14ac:dyDescent="0.25">
      <c r="B52" s="907" t="s">
        <v>53</v>
      </c>
      <c r="C52" s="908"/>
      <c r="D52" s="908"/>
      <c r="E52" s="908"/>
      <c r="F52" s="908"/>
      <c r="G52" s="908"/>
      <c r="H52" s="881"/>
      <c r="I52" s="133" t="s">
        <v>39</v>
      </c>
      <c r="J52" s="888"/>
      <c r="K52" s="12" t="s">
        <v>40</v>
      </c>
      <c r="L52" s="13" t="s">
        <v>41</v>
      </c>
      <c r="M52" s="12" t="s">
        <v>42</v>
      </c>
      <c r="N52" s="12" t="s">
        <v>43</v>
      </c>
      <c r="O52" s="12" t="s">
        <v>44</v>
      </c>
      <c r="P52" s="889"/>
      <c r="Q52" s="785"/>
      <c r="R52" s="785"/>
      <c r="S52" s="906"/>
    </row>
    <row r="53" spans="2:19" s="1" customFormat="1" ht="6" customHeight="1" x14ac:dyDescent="0.2">
      <c r="B53" s="286"/>
      <c r="C53" s="112"/>
      <c r="D53" s="112"/>
      <c r="E53" s="112"/>
      <c r="F53" s="112"/>
      <c r="G53" s="16"/>
      <c r="H53" s="16"/>
      <c r="I53" s="111"/>
      <c r="J53" s="16"/>
      <c r="K53" s="107"/>
      <c r="L53" s="107"/>
      <c r="M53" s="107"/>
      <c r="N53" s="107"/>
      <c r="O53" s="107"/>
      <c r="P53" s="107"/>
      <c r="Q53" s="4"/>
      <c r="R53" s="22"/>
      <c r="S53" s="318"/>
    </row>
    <row r="54" spans="2:19" s="1" customFormat="1" ht="12.75" x14ac:dyDescent="0.2">
      <c r="B54" s="52">
        <f>B39</f>
        <v>0.01</v>
      </c>
      <c r="C54" s="113"/>
      <c r="D54" s="113" t="s">
        <v>11</v>
      </c>
      <c r="E54" s="113"/>
      <c r="F54" s="312">
        <f>F39</f>
        <v>18435.099999999999</v>
      </c>
      <c r="H54" s="17">
        <f>TRUNC(50%*MATRIZ!I58,2)</f>
        <v>143.19</v>
      </c>
      <c r="I54" s="16">
        <f>TRUNC(50%*MATRIZ!$I$102,2)</f>
        <v>16.14</v>
      </c>
      <c r="J54" s="107">
        <f t="shared" ref="J54:J62" si="30">SUM(H54:I54)</f>
        <v>159.32999999999998</v>
      </c>
      <c r="K54" s="107">
        <f t="shared" ref="K54:K62" si="31">TRUNC(J54*2%,2)</f>
        <v>3.18</v>
      </c>
      <c r="L54" s="107">
        <f t="shared" ref="L54" si="32">TRUNC(J54*20%,2)</f>
        <v>31.86</v>
      </c>
      <c r="M54" s="107">
        <f t="shared" ref="M54" si="33">TRUNC(J54*5%,2)</f>
        <v>7.96</v>
      </c>
      <c r="N54" s="107">
        <f t="shared" ref="N54:N62" si="34">M54</f>
        <v>7.96</v>
      </c>
      <c r="O54" s="107">
        <f>TRUNC(J54*6%,2)</f>
        <v>9.5500000000000007</v>
      </c>
      <c r="P54" s="107">
        <f t="shared" ref="P54" si="35">TRUNC(J54*3%,2)</f>
        <v>4.7699999999999996</v>
      </c>
      <c r="Q54" s="115" t="s">
        <v>22</v>
      </c>
      <c r="R54" s="107">
        <f>MATRIZ!$I$382</f>
        <v>2.87</v>
      </c>
      <c r="S54" s="318">
        <f t="shared" ref="S54" si="36">SUM(J54:R54)</f>
        <v>227.48000000000005</v>
      </c>
    </row>
    <row r="55" spans="2:19" s="1" customFormat="1" ht="12.75" x14ac:dyDescent="0.2">
      <c r="B55" s="52">
        <f t="shared" ref="B55:B61" si="37">B40</f>
        <v>18435.109999999997</v>
      </c>
      <c r="C55" s="113"/>
      <c r="D55" s="113" t="s">
        <v>11</v>
      </c>
      <c r="E55" s="113"/>
      <c r="F55" s="312">
        <f t="shared" ref="F55:F61" si="38">F40</f>
        <v>36870.230000000003</v>
      </c>
      <c r="H55" s="27">
        <f>TRUNC(50%*MATRIZ!I59,2)</f>
        <v>236.61</v>
      </c>
      <c r="I55" s="16">
        <f>TRUNC(50%*MATRIZ!$I$102,2)</f>
        <v>16.14</v>
      </c>
      <c r="J55" s="107">
        <f t="shared" si="30"/>
        <v>252.75</v>
      </c>
      <c r="K55" s="107">
        <f t="shared" si="31"/>
        <v>5.05</v>
      </c>
      <c r="L55" s="107">
        <f t="shared" ref="L55:L62" si="39">TRUNC(J55*20%,2)</f>
        <v>50.55</v>
      </c>
      <c r="M55" s="107">
        <f t="shared" ref="M55:M62" si="40">TRUNC(J55*5%,2)</f>
        <v>12.63</v>
      </c>
      <c r="N55" s="107">
        <f t="shared" si="34"/>
        <v>12.63</v>
      </c>
      <c r="O55" s="107">
        <f t="shared" ref="O55:O62" si="41">TRUNC(J55*6%,2)</f>
        <v>15.16</v>
      </c>
      <c r="P55" s="107">
        <f t="shared" ref="P55:P62" si="42">TRUNC(J55*3%,2)</f>
        <v>7.58</v>
      </c>
      <c r="Q55" s="115" t="s">
        <v>22</v>
      </c>
      <c r="R55" s="107">
        <f>MATRIZ!$I$382</f>
        <v>2.87</v>
      </c>
      <c r="S55" s="318">
        <f t="shared" ref="S55:S62" si="43">SUM(J55:R55)</f>
        <v>359.22</v>
      </c>
    </row>
    <row r="56" spans="2:19" s="1" customFormat="1" ht="12.75" x14ac:dyDescent="0.2">
      <c r="B56" s="52">
        <f t="shared" si="37"/>
        <v>36870.240000000005</v>
      </c>
      <c r="C56" s="113"/>
      <c r="D56" s="113" t="s">
        <v>11</v>
      </c>
      <c r="E56" s="113"/>
      <c r="F56" s="312">
        <f t="shared" si="38"/>
        <v>55305.35</v>
      </c>
      <c r="H56" s="27">
        <f>TRUNC(50%*MATRIZ!I60,2)</f>
        <v>330.07</v>
      </c>
      <c r="I56" s="16">
        <f>TRUNC(50%*MATRIZ!$I$102,2)</f>
        <v>16.14</v>
      </c>
      <c r="J56" s="107">
        <f t="shared" si="30"/>
        <v>346.21</v>
      </c>
      <c r="K56" s="107">
        <f t="shared" si="31"/>
        <v>6.92</v>
      </c>
      <c r="L56" s="107">
        <f t="shared" si="39"/>
        <v>69.239999999999995</v>
      </c>
      <c r="M56" s="107">
        <f t="shared" si="40"/>
        <v>17.309999999999999</v>
      </c>
      <c r="N56" s="107">
        <f t="shared" si="34"/>
        <v>17.309999999999999</v>
      </c>
      <c r="O56" s="107">
        <f t="shared" si="41"/>
        <v>20.77</v>
      </c>
      <c r="P56" s="107">
        <f t="shared" si="42"/>
        <v>10.38</v>
      </c>
      <c r="Q56" s="115" t="s">
        <v>22</v>
      </c>
      <c r="R56" s="107">
        <f>MATRIZ!$I$382</f>
        <v>2.87</v>
      </c>
      <c r="S56" s="318">
        <f t="shared" si="43"/>
        <v>491.01</v>
      </c>
    </row>
    <row r="57" spans="2:19" s="1" customFormat="1" ht="12.75" customHeight="1" x14ac:dyDescent="0.2">
      <c r="B57" s="52">
        <f t="shared" si="37"/>
        <v>55305.36</v>
      </c>
      <c r="C57" s="113"/>
      <c r="D57" s="113" t="s">
        <v>11</v>
      </c>
      <c r="E57" s="113"/>
      <c r="F57" s="312">
        <f t="shared" si="38"/>
        <v>73740.490000000005</v>
      </c>
      <c r="H57" s="27">
        <f>TRUNC(50%*MATRIZ!I61,2)</f>
        <v>404.79</v>
      </c>
      <c r="I57" s="16">
        <f>TRUNC(50%*MATRIZ!$I$102,2)</f>
        <v>16.14</v>
      </c>
      <c r="J57" s="107">
        <f t="shared" si="30"/>
        <v>420.93</v>
      </c>
      <c r="K57" s="107">
        <f t="shared" si="31"/>
        <v>8.41</v>
      </c>
      <c r="L57" s="107">
        <f t="shared" si="39"/>
        <v>84.18</v>
      </c>
      <c r="M57" s="107">
        <f t="shared" si="40"/>
        <v>21.04</v>
      </c>
      <c r="N57" s="107">
        <f t="shared" si="34"/>
        <v>21.04</v>
      </c>
      <c r="O57" s="107">
        <f t="shared" si="41"/>
        <v>25.25</v>
      </c>
      <c r="P57" s="107">
        <f t="shared" si="42"/>
        <v>12.62</v>
      </c>
      <c r="Q57" s="115" t="s">
        <v>22</v>
      </c>
      <c r="R57" s="107">
        <f>MATRIZ!$I$382</f>
        <v>2.87</v>
      </c>
      <c r="S57" s="318">
        <f t="shared" si="43"/>
        <v>596.33999999999992</v>
      </c>
    </row>
    <row r="58" spans="2:19" s="1" customFormat="1" ht="13.5" customHeight="1" x14ac:dyDescent="0.2">
      <c r="B58" s="52">
        <f t="shared" si="37"/>
        <v>73740.5</v>
      </c>
      <c r="C58" s="113"/>
      <c r="D58" s="113" t="s">
        <v>11</v>
      </c>
      <c r="E58" s="113"/>
      <c r="F58" s="312">
        <f t="shared" si="38"/>
        <v>98320.639999999999</v>
      </c>
      <c r="H58" s="27">
        <f>TRUNC(50%*MATRIZ!I62,2)</f>
        <v>717.48</v>
      </c>
      <c r="I58" s="16">
        <f>TRUNC(50%*MATRIZ!$I$102,2)</f>
        <v>16.14</v>
      </c>
      <c r="J58" s="107">
        <f t="shared" si="30"/>
        <v>733.62</v>
      </c>
      <c r="K58" s="107">
        <f t="shared" si="31"/>
        <v>14.67</v>
      </c>
      <c r="L58" s="107">
        <f t="shared" si="39"/>
        <v>146.72</v>
      </c>
      <c r="M58" s="107">
        <f t="shared" si="40"/>
        <v>36.68</v>
      </c>
      <c r="N58" s="107">
        <f t="shared" si="34"/>
        <v>36.68</v>
      </c>
      <c r="O58" s="107">
        <f t="shared" si="41"/>
        <v>44.01</v>
      </c>
      <c r="P58" s="107">
        <f t="shared" si="42"/>
        <v>22</v>
      </c>
      <c r="Q58" s="115" t="s">
        <v>22</v>
      </c>
      <c r="R58" s="107">
        <f>MATRIZ!$I$382</f>
        <v>2.87</v>
      </c>
      <c r="S58" s="318">
        <f t="shared" si="43"/>
        <v>1037.2499999999998</v>
      </c>
    </row>
    <row r="59" spans="2:19" s="1" customFormat="1" ht="12.75" x14ac:dyDescent="0.2">
      <c r="B59" s="52">
        <f t="shared" si="37"/>
        <v>98320.65</v>
      </c>
      <c r="C59" s="113"/>
      <c r="D59" s="113" t="s">
        <v>11</v>
      </c>
      <c r="E59" s="113"/>
      <c r="F59" s="312">
        <f t="shared" si="38"/>
        <v>122900.81</v>
      </c>
      <c r="H59" s="27">
        <f>TRUNC(50%*MATRIZ!I63,2)</f>
        <v>847.04</v>
      </c>
      <c r="I59" s="16">
        <f>TRUNC(50%*MATRIZ!$I$102,2)</f>
        <v>16.14</v>
      </c>
      <c r="J59" s="107">
        <f t="shared" si="30"/>
        <v>863.18</v>
      </c>
      <c r="K59" s="107">
        <f t="shared" si="31"/>
        <v>17.260000000000002</v>
      </c>
      <c r="L59" s="107">
        <f t="shared" si="39"/>
        <v>172.63</v>
      </c>
      <c r="M59" s="107">
        <f t="shared" si="40"/>
        <v>43.15</v>
      </c>
      <c r="N59" s="107">
        <f t="shared" si="34"/>
        <v>43.15</v>
      </c>
      <c r="O59" s="107">
        <f t="shared" si="41"/>
        <v>51.79</v>
      </c>
      <c r="P59" s="107">
        <f t="shared" si="42"/>
        <v>25.89</v>
      </c>
      <c r="Q59" s="115" t="s">
        <v>22</v>
      </c>
      <c r="R59" s="107">
        <f>MATRIZ!$I$382</f>
        <v>2.87</v>
      </c>
      <c r="S59" s="318">
        <f t="shared" si="43"/>
        <v>1219.92</v>
      </c>
    </row>
    <row r="60" spans="2:19" s="1" customFormat="1" ht="12.75" x14ac:dyDescent="0.2">
      <c r="B60" s="52">
        <f t="shared" si="37"/>
        <v>122900.81999999999</v>
      </c>
      <c r="C60" s="113"/>
      <c r="D60" s="113" t="s">
        <v>11</v>
      </c>
      <c r="E60" s="113"/>
      <c r="F60" s="312">
        <f t="shared" si="38"/>
        <v>245801.64</v>
      </c>
      <c r="H60" s="27">
        <f>TRUNC(50%*MATRIZ!I64,2)</f>
        <v>1145.99</v>
      </c>
      <c r="I60" s="16">
        <f>TRUNC(50%*MATRIZ!$I$102,2)</f>
        <v>16.14</v>
      </c>
      <c r="J60" s="107">
        <f t="shared" si="30"/>
        <v>1162.1300000000001</v>
      </c>
      <c r="K60" s="107">
        <f t="shared" si="31"/>
        <v>23.24</v>
      </c>
      <c r="L60" s="107">
        <f t="shared" si="39"/>
        <v>232.42</v>
      </c>
      <c r="M60" s="107">
        <f t="shared" si="40"/>
        <v>58.1</v>
      </c>
      <c r="N60" s="107">
        <f t="shared" si="34"/>
        <v>58.1</v>
      </c>
      <c r="O60" s="107">
        <f t="shared" si="41"/>
        <v>69.72</v>
      </c>
      <c r="P60" s="107">
        <f t="shared" si="42"/>
        <v>34.86</v>
      </c>
      <c r="Q60" s="115" t="s">
        <v>22</v>
      </c>
      <c r="R60" s="107">
        <f>MATRIZ!$I$382</f>
        <v>2.87</v>
      </c>
      <c r="S60" s="318">
        <f t="shared" si="43"/>
        <v>1641.4399999999998</v>
      </c>
    </row>
    <row r="61" spans="2:19" s="1" customFormat="1" ht="12.75" x14ac:dyDescent="0.2">
      <c r="B61" s="52">
        <f t="shared" si="37"/>
        <v>245801.65000000002</v>
      </c>
      <c r="C61" s="113"/>
      <c r="D61" s="113" t="s">
        <v>11</v>
      </c>
      <c r="E61" s="113"/>
      <c r="F61" s="312">
        <f t="shared" si="38"/>
        <v>491603.3</v>
      </c>
      <c r="H61" s="27">
        <f>TRUNC(50%*MATRIZ!I65,2)</f>
        <v>1233.22</v>
      </c>
      <c r="I61" s="16">
        <f>TRUNC(50%*MATRIZ!$I$102,2)</f>
        <v>16.14</v>
      </c>
      <c r="J61" s="107">
        <f t="shared" si="30"/>
        <v>1249.3600000000001</v>
      </c>
      <c r="K61" s="107">
        <f t="shared" si="31"/>
        <v>24.98</v>
      </c>
      <c r="L61" s="107">
        <f t="shared" si="39"/>
        <v>249.87</v>
      </c>
      <c r="M61" s="107">
        <f t="shared" si="40"/>
        <v>62.46</v>
      </c>
      <c r="N61" s="107">
        <f t="shared" si="34"/>
        <v>62.46</v>
      </c>
      <c r="O61" s="107">
        <f t="shared" si="41"/>
        <v>74.959999999999994</v>
      </c>
      <c r="P61" s="107">
        <f t="shared" si="42"/>
        <v>37.479999999999997</v>
      </c>
      <c r="Q61" s="115" t="s">
        <v>22</v>
      </c>
      <c r="R61" s="107">
        <f>MATRIZ!$I$382</f>
        <v>2.87</v>
      </c>
      <c r="S61" s="318">
        <f t="shared" si="43"/>
        <v>1764.44</v>
      </c>
    </row>
    <row r="62" spans="2:19" s="1" customFormat="1" ht="12.75" customHeight="1" x14ac:dyDescent="0.2">
      <c r="B62" s="55" t="s">
        <v>51</v>
      </c>
      <c r="C62" s="4">
        <f>C47</f>
        <v>491603.31</v>
      </c>
      <c r="D62" s="19"/>
      <c r="E62" s="19" t="str">
        <f>E47</f>
        <v>(A cada 116.113,88, acrescentar...)</v>
      </c>
      <c r="F62" s="312"/>
      <c r="H62" s="359">
        <f>TRUNC(50%*MATRIZ!I66,2)</f>
        <v>110.46</v>
      </c>
      <c r="I62" s="360" t="s">
        <v>424</v>
      </c>
      <c r="J62" s="107">
        <f t="shared" si="30"/>
        <v>110.46</v>
      </c>
      <c r="K62" s="107">
        <f t="shared" si="31"/>
        <v>2.2000000000000002</v>
      </c>
      <c r="L62" s="107">
        <f t="shared" si="39"/>
        <v>22.09</v>
      </c>
      <c r="M62" s="107">
        <f t="shared" si="40"/>
        <v>5.52</v>
      </c>
      <c r="N62" s="107">
        <f t="shared" si="34"/>
        <v>5.52</v>
      </c>
      <c r="O62" s="107">
        <f t="shared" si="41"/>
        <v>6.62</v>
      </c>
      <c r="P62" s="107">
        <f t="shared" si="42"/>
        <v>3.31</v>
      </c>
      <c r="Q62" s="115" t="s">
        <v>22</v>
      </c>
      <c r="R62" s="107" t="s">
        <v>22</v>
      </c>
      <c r="S62" s="318">
        <f t="shared" si="43"/>
        <v>155.72000000000003</v>
      </c>
    </row>
    <row r="63" spans="2:19" s="1" customFormat="1" ht="19.5" customHeight="1" x14ac:dyDescent="0.2">
      <c r="B63" s="915" t="s">
        <v>470</v>
      </c>
      <c r="C63" s="916"/>
      <c r="D63" s="916"/>
      <c r="E63" s="916"/>
      <c r="F63" s="916"/>
      <c r="G63" s="916"/>
      <c r="H63" s="916"/>
      <c r="I63" s="916"/>
      <c r="J63" s="467"/>
      <c r="K63" s="968">
        <f>MATRIZ!I95</f>
        <v>40381.800000000003</v>
      </c>
      <c r="L63" s="969"/>
      <c r="M63" s="467"/>
      <c r="N63" s="467"/>
      <c r="O63" s="467"/>
      <c r="P63" s="467"/>
      <c r="Q63" s="467"/>
      <c r="R63" s="467"/>
      <c r="S63" s="308"/>
    </row>
    <row r="64" spans="2:19" s="1" customFormat="1" ht="14.25" customHeight="1" thickBot="1" x14ac:dyDescent="0.25">
      <c r="B64" s="60"/>
      <c r="C64" s="4"/>
      <c r="D64" s="4"/>
      <c r="E64" s="4"/>
      <c r="F64" s="4"/>
      <c r="G64" s="16"/>
      <c r="H64" s="16"/>
      <c r="I64" s="16"/>
      <c r="J64" s="16"/>
      <c r="K64" s="111"/>
      <c r="L64" s="116"/>
      <c r="Q64" s="9"/>
      <c r="S64" s="72"/>
    </row>
    <row r="65" spans="2:19" s="1" customFormat="1" ht="15" customHeight="1" x14ac:dyDescent="0.2">
      <c r="B65" s="900" t="s">
        <v>54</v>
      </c>
      <c r="C65" s="901"/>
      <c r="D65" s="901"/>
      <c r="E65" s="901"/>
      <c r="F65" s="901"/>
      <c r="G65" s="902"/>
      <c r="H65" s="880" t="s">
        <v>45</v>
      </c>
      <c r="I65" s="10" t="s">
        <v>35</v>
      </c>
      <c r="J65" s="870" t="s">
        <v>3</v>
      </c>
      <c r="K65" s="469">
        <v>0.02</v>
      </c>
      <c r="L65" s="11">
        <v>0.2</v>
      </c>
      <c r="M65" s="469">
        <v>0.05</v>
      </c>
      <c r="N65" s="469">
        <v>0.05</v>
      </c>
      <c r="O65" s="469">
        <v>0.06</v>
      </c>
      <c r="P65" s="872" t="s">
        <v>5</v>
      </c>
      <c r="Q65" s="874" t="s">
        <v>55</v>
      </c>
      <c r="R65" s="874" t="s">
        <v>6</v>
      </c>
      <c r="S65" s="895" t="s">
        <v>7</v>
      </c>
    </row>
    <row r="66" spans="2:19" s="1" customFormat="1" ht="15.75" customHeight="1" thickBot="1" x14ac:dyDescent="0.25">
      <c r="B66" s="897" t="s">
        <v>56</v>
      </c>
      <c r="C66" s="898"/>
      <c r="D66" s="898"/>
      <c r="E66" s="898"/>
      <c r="F66" s="898"/>
      <c r="G66" s="899"/>
      <c r="H66" s="881"/>
      <c r="I66" s="133" t="s">
        <v>39</v>
      </c>
      <c r="J66" s="888"/>
      <c r="K66" s="12" t="s">
        <v>40</v>
      </c>
      <c r="L66" s="13" t="s">
        <v>41</v>
      </c>
      <c r="M66" s="12" t="s">
        <v>42</v>
      </c>
      <c r="N66" s="12" t="s">
        <v>43</v>
      </c>
      <c r="O66" s="12" t="s">
        <v>44</v>
      </c>
      <c r="P66" s="889"/>
      <c r="Q66" s="785"/>
      <c r="R66" s="785"/>
      <c r="S66" s="896"/>
    </row>
    <row r="67" spans="2:19" s="1" customFormat="1" ht="6" customHeight="1" x14ac:dyDescent="0.2">
      <c r="B67" s="292"/>
      <c r="C67" s="112"/>
      <c r="D67" s="112"/>
      <c r="E67" s="112"/>
      <c r="F67" s="117"/>
      <c r="G67" s="16"/>
      <c r="H67" s="16"/>
      <c r="I67" s="16"/>
      <c r="J67" s="16"/>
      <c r="K67" s="111"/>
      <c r="L67" s="116"/>
      <c r="Q67" s="9"/>
      <c r="S67" s="293"/>
    </row>
    <row r="68" spans="2:19" s="1" customFormat="1" ht="12.75" x14ac:dyDescent="0.2">
      <c r="B68" s="55">
        <f>MATRIZ!B75</f>
        <v>0.01</v>
      </c>
      <c r="C68" s="4"/>
      <c r="D68" s="4" t="s">
        <v>11</v>
      </c>
      <c r="E68" s="4"/>
      <c r="F68" s="4">
        <f>MATRIZ!H75</f>
        <v>122900.81</v>
      </c>
      <c r="H68" s="17">
        <f>MATRIZ!I75</f>
        <v>1857.61</v>
      </c>
      <c r="I68" s="16">
        <f>MATRIZ!$I$102</f>
        <v>32.29</v>
      </c>
      <c r="J68" s="107">
        <f t="shared" ref="J68" si="44">SUM(H68:I68)</f>
        <v>1889.8999999999999</v>
      </c>
      <c r="K68" s="107">
        <f t="shared" ref="K68:K72" si="45">TRUNC(J68*2%,2)</f>
        <v>37.79</v>
      </c>
      <c r="L68" s="107">
        <f t="shared" ref="L68" si="46">TRUNC(J68*20%,2)</f>
        <v>377.98</v>
      </c>
      <c r="M68" s="107">
        <f t="shared" ref="M68" si="47">TRUNC(J68*5%,2)</f>
        <v>94.49</v>
      </c>
      <c r="N68" s="107">
        <f t="shared" ref="N68:N72" si="48">M68</f>
        <v>94.49</v>
      </c>
      <c r="O68" s="107">
        <f>TRUNC(J68*6%,2)</f>
        <v>113.39</v>
      </c>
      <c r="P68" s="107">
        <f t="shared" ref="P68" si="49">TRUNC(J68*3%,2)</f>
        <v>56.69</v>
      </c>
      <c r="Q68" s="115" t="s">
        <v>22</v>
      </c>
      <c r="R68" s="107">
        <f>MATRIZ!$I$382</f>
        <v>2.87</v>
      </c>
      <c r="S68" s="318">
        <f t="shared" ref="S68" si="50">SUM(J68:R68)</f>
        <v>2667.5999999999995</v>
      </c>
    </row>
    <row r="69" spans="2:19" s="1" customFormat="1" ht="12.75" x14ac:dyDescent="0.2">
      <c r="B69" s="55">
        <f>MATRIZ!B76</f>
        <v>122900.81999999999</v>
      </c>
      <c r="C69" s="4"/>
      <c r="D69" s="4" t="s">
        <v>11</v>
      </c>
      <c r="E69" s="4"/>
      <c r="F69" s="4">
        <f>MATRIZ!H76</f>
        <v>614504.12</v>
      </c>
      <c r="H69" s="17">
        <f>MATRIZ!I76</f>
        <v>2979.91</v>
      </c>
      <c r="I69" s="16">
        <f>MATRIZ!$I$102</f>
        <v>32.29</v>
      </c>
      <c r="J69" s="107">
        <f t="shared" ref="J69:J72" si="51">SUM(H69:I69)</f>
        <v>3012.2</v>
      </c>
      <c r="K69" s="107">
        <f t="shared" si="45"/>
        <v>60.24</v>
      </c>
      <c r="L69" s="107">
        <f t="shared" ref="L69:L72" si="52">TRUNC(J69*20%,2)</f>
        <v>602.44000000000005</v>
      </c>
      <c r="M69" s="107">
        <f t="shared" ref="M69:M72" si="53">TRUNC(J69*5%,2)</f>
        <v>150.61000000000001</v>
      </c>
      <c r="N69" s="107">
        <f t="shared" si="48"/>
        <v>150.61000000000001</v>
      </c>
      <c r="O69" s="107">
        <f t="shared" ref="O69:O72" si="54">TRUNC(J69*6%,2)</f>
        <v>180.73</v>
      </c>
      <c r="P69" s="107">
        <f t="shared" ref="P69:P72" si="55">TRUNC(J69*3%,2)</f>
        <v>90.36</v>
      </c>
      <c r="Q69" s="115" t="s">
        <v>22</v>
      </c>
      <c r="R69" s="107">
        <f>MATRIZ!$I$382</f>
        <v>2.87</v>
      </c>
      <c r="S69" s="318">
        <f t="shared" ref="S69:S72" si="56">SUM(J69:R69)</f>
        <v>4250.0599999999995</v>
      </c>
    </row>
    <row r="70" spans="2:19" s="1" customFormat="1" ht="12.75" x14ac:dyDescent="0.2">
      <c r="B70" s="55">
        <f>MATRIZ!B77</f>
        <v>614504.13</v>
      </c>
      <c r="C70" s="4"/>
      <c r="D70" s="4" t="s">
        <v>11</v>
      </c>
      <c r="E70" s="4"/>
      <c r="F70" s="4">
        <f>MATRIZ!H77</f>
        <v>983206.61</v>
      </c>
      <c r="H70" s="17">
        <f>MATRIZ!I77</f>
        <v>4145.91</v>
      </c>
      <c r="I70" s="16">
        <f>MATRIZ!$I$102</f>
        <v>32.29</v>
      </c>
      <c r="J70" s="107">
        <f t="shared" si="51"/>
        <v>4178.2</v>
      </c>
      <c r="K70" s="107">
        <f t="shared" si="45"/>
        <v>83.56</v>
      </c>
      <c r="L70" s="107">
        <f t="shared" si="52"/>
        <v>835.64</v>
      </c>
      <c r="M70" s="107">
        <f t="shared" si="53"/>
        <v>208.91</v>
      </c>
      <c r="N70" s="107">
        <f t="shared" si="48"/>
        <v>208.91</v>
      </c>
      <c r="O70" s="107">
        <f t="shared" si="54"/>
        <v>250.69</v>
      </c>
      <c r="P70" s="107">
        <f t="shared" si="55"/>
        <v>125.34</v>
      </c>
      <c r="Q70" s="115" t="s">
        <v>22</v>
      </c>
      <c r="R70" s="107">
        <f>MATRIZ!$I$382</f>
        <v>2.87</v>
      </c>
      <c r="S70" s="318">
        <f t="shared" si="56"/>
        <v>5894.12</v>
      </c>
    </row>
    <row r="71" spans="2:19" s="1" customFormat="1" ht="12.75" x14ac:dyDescent="0.2">
      <c r="B71" s="55">
        <f>MATRIZ!B78</f>
        <v>983206.62</v>
      </c>
      <c r="C71" s="4"/>
      <c r="D71" s="4" t="s">
        <v>11</v>
      </c>
      <c r="E71" s="4"/>
      <c r="F71" s="4">
        <f>MATRIZ!H78</f>
        <v>1229008.25</v>
      </c>
      <c r="H71" s="17">
        <f>MATRIZ!I78</f>
        <v>4728.8999999999996</v>
      </c>
      <c r="I71" s="16">
        <f>MATRIZ!$I$102</f>
        <v>32.29</v>
      </c>
      <c r="J71" s="107">
        <f t="shared" si="51"/>
        <v>4761.1899999999996</v>
      </c>
      <c r="K71" s="107">
        <f t="shared" si="45"/>
        <v>95.22</v>
      </c>
      <c r="L71" s="107">
        <f t="shared" si="52"/>
        <v>952.23</v>
      </c>
      <c r="M71" s="107">
        <f t="shared" si="53"/>
        <v>238.05</v>
      </c>
      <c r="N71" s="107">
        <f t="shared" si="48"/>
        <v>238.05</v>
      </c>
      <c r="O71" s="107">
        <f t="shared" si="54"/>
        <v>285.67</v>
      </c>
      <c r="P71" s="107">
        <f t="shared" si="55"/>
        <v>142.83000000000001</v>
      </c>
      <c r="Q71" s="115" t="s">
        <v>22</v>
      </c>
      <c r="R71" s="107">
        <f>MATRIZ!$I$382</f>
        <v>2.87</v>
      </c>
      <c r="S71" s="318">
        <f t="shared" si="56"/>
        <v>6716.11</v>
      </c>
    </row>
    <row r="72" spans="2:19" s="1" customFormat="1" ht="15" x14ac:dyDescent="0.2">
      <c r="B72" s="55" t="s">
        <v>254</v>
      </c>
      <c r="C72" s="4">
        <f>F71+0.01</f>
        <v>1229008.26</v>
      </c>
      <c r="D72" s="19"/>
      <c r="E72" s="19" t="str">
        <f>E62</f>
        <v>(A cada 116.113,88, acrescentar...)</v>
      </c>
      <c r="F72" s="19"/>
      <c r="H72" s="17">
        <f>MATRIZ!I79</f>
        <v>220.93</v>
      </c>
      <c r="I72" s="310" t="s">
        <v>424</v>
      </c>
      <c r="J72" s="107">
        <f t="shared" si="51"/>
        <v>220.93</v>
      </c>
      <c r="K72" s="107">
        <f t="shared" si="45"/>
        <v>4.41</v>
      </c>
      <c r="L72" s="107">
        <f t="shared" si="52"/>
        <v>44.18</v>
      </c>
      <c r="M72" s="107">
        <f t="shared" si="53"/>
        <v>11.04</v>
      </c>
      <c r="N72" s="107">
        <f t="shared" si="48"/>
        <v>11.04</v>
      </c>
      <c r="O72" s="107">
        <f t="shared" si="54"/>
        <v>13.25</v>
      </c>
      <c r="P72" s="107">
        <f t="shared" si="55"/>
        <v>6.62</v>
      </c>
      <c r="Q72" s="115" t="s">
        <v>22</v>
      </c>
      <c r="R72" s="107" t="s">
        <v>22</v>
      </c>
      <c r="S72" s="318">
        <f t="shared" si="56"/>
        <v>311.47000000000003</v>
      </c>
    </row>
    <row r="73" spans="2:19" s="1" customFormat="1" ht="15.75" customHeight="1" x14ac:dyDescent="0.2">
      <c r="B73" s="761" t="s">
        <v>471</v>
      </c>
      <c r="C73" s="762"/>
      <c r="D73" s="762"/>
      <c r="E73" s="762"/>
      <c r="F73" s="762"/>
      <c r="G73" s="762"/>
      <c r="H73" s="762"/>
      <c r="I73" s="762"/>
      <c r="J73" s="762"/>
      <c r="K73" s="968">
        <f>MATRIZ!I80</f>
        <v>323054.40000000002</v>
      </c>
      <c r="L73" s="969"/>
      <c r="M73" s="468"/>
      <c r="N73" s="468"/>
      <c r="O73" s="468"/>
      <c r="P73" s="468"/>
      <c r="Q73" s="468"/>
      <c r="R73" s="468"/>
      <c r="S73" s="294"/>
    </row>
    <row r="74" spans="2:19" s="1" customFormat="1" ht="8.25" customHeight="1" thickBot="1" x14ac:dyDescent="0.25">
      <c r="B74" s="295"/>
      <c r="C74" s="135"/>
      <c r="D74" s="135"/>
      <c r="E74" s="135"/>
      <c r="F74" s="135"/>
      <c r="G74" s="111"/>
      <c r="H74" s="111"/>
      <c r="I74" s="111"/>
      <c r="J74" s="16"/>
      <c r="K74" s="8"/>
      <c r="Q74" s="9"/>
      <c r="S74" s="72"/>
    </row>
    <row r="75" spans="2:19" s="1" customFormat="1" ht="15" customHeight="1" x14ac:dyDescent="0.2">
      <c r="B75" s="900" t="s">
        <v>57</v>
      </c>
      <c r="C75" s="901"/>
      <c r="D75" s="901"/>
      <c r="E75" s="901"/>
      <c r="F75" s="901"/>
      <c r="G75" s="902"/>
      <c r="H75" s="880" t="s">
        <v>45</v>
      </c>
      <c r="I75" s="10" t="s">
        <v>35</v>
      </c>
      <c r="J75" s="870" t="s">
        <v>3</v>
      </c>
      <c r="K75" s="469">
        <v>0.02</v>
      </c>
      <c r="L75" s="11">
        <v>0.2</v>
      </c>
      <c r="M75" s="469">
        <v>0.05</v>
      </c>
      <c r="N75" s="469">
        <v>0.05</v>
      </c>
      <c r="O75" s="469">
        <v>0.06</v>
      </c>
      <c r="P75" s="872" t="s">
        <v>5</v>
      </c>
      <c r="Q75" s="874" t="s">
        <v>55</v>
      </c>
      <c r="R75" s="874" t="s">
        <v>6</v>
      </c>
      <c r="S75" s="863" t="s">
        <v>7</v>
      </c>
    </row>
    <row r="76" spans="2:19" s="1" customFormat="1" ht="22.5" customHeight="1" thickBot="1" x14ac:dyDescent="0.25">
      <c r="B76" s="897" t="s">
        <v>58</v>
      </c>
      <c r="C76" s="898"/>
      <c r="D76" s="898"/>
      <c r="E76" s="898"/>
      <c r="F76" s="898"/>
      <c r="G76" s="899"/>
      <c r="H76" s="881"/>
      <c r="I76" s="133" t="s">
        <v>39</v>
      </c>
      <c r="J76" s="888"/>
      <c r="K76" s="12" t="s">
        <v>40</v>
      </c>
      <c r="L76" s="13" t="s">
        <v>41</v>
      </c>
      <c r="M76" s="12" t="s">
        <v>42</v>
      </c>
      <c r="N76" s="12" t="s">
        <v>43</v>
      </c>
      <c r="O76" s="12" t="s">
        <v>44</v>
      </c>
      <c r="P76" s="889"/>
      <c r="Q76" s="785"/>
      <c r="R76" s="785"/>
      <c r="S76" s="864"/>
    </row>
    <row r="77" spans="2:19" s="1" customFormat="1" ht="7.5" customHeight="1" x14ac:dyDescent="0.2">
      <c r="B77" s="296"/>
      <c r="C77" s="473"/>
      <c r="D77" s="473"/>
      <c r="E77" s="473"/>
      <c r="F77" s="473"/>
      <c r="G77" s="473"/>
      <c r="H77" s="111"/>
      <c r="I77" s="16"/>
      <c r="J77" s="279"/>
      <c r="K77" s="280"/>
      <c r="L77" s="280"/>
      <c r="M77" s="280"/>
      <c r="N77" s="280"/>
      <c r="O77" s="280"/>
      <c r="P77" s="281"/>
      <c r="Q77" s="282"/>
      <c r="R77" s="282"/>
      <c r="S77" s="297"/>
    </row>
    <row r="78" spans="2:19" s="1" customFormat="1" ht="12.75" x14ac:dyDescent="0.2">
      <c r="B78" s="52">
        <f>B54</f>
        <v>0.01</v>
      </c>
      <c r="C78" s="113"/>
      <c r="D78" s="113" t="s">
        <v>11</v>
      </c>
      <c r="E78" s="113"/>
      <c r="F78" s="113">
        <f>F54</f>
        <v>18435.099999999999</v>
      </c>
      <c r="H78" s="106">
        <f>MATRIZ!I86</f>
        <v>199.56</v>
      </c>
      <c r="I78" s="16">
        <f>MATRIZ!$I$102</f>
        <v>32.29</v>
      </c>
      <c r="J78" s="107">
        <f t="shared" ref="J78" si="57">SUM(H78:I78)</f>
        <v>231.85</v>
      </c>
      <c r="K78" s="107">
        <f t="shared" ref="K78:K86" si="58">TRUNC(J78*2%,2)</f>
        <v>4.63</v>
      </c>
      <c r="L78" s="107">
        <f t="shared" ref="L78" si="59">TRUNC(J78*20%,2)</f>
        <v>46.37</v>
      </c>
      <c r="M78" s="107">
        <f t="shared" ref="M78" si="60">TRUNC(J78*5%,2)</f>
        <v>11.59</v>
      </c>
      <c r="N78" s="107">
        <f t="shared" ref="N78:N86" si="61">M78</f>
        <v>11.59</v>
      </c>
      <c r="O78" s="107">
        <f>TRUNC(J78*6%,2)</f>
        <v>13.91</v>
      </c>
      <c r="P78" s="107">
        <f t="shared" ref="P78" si="62">TRUNC(J78*3%,2)</f>
        <v>6.95</v>
      </c>
      <c r="Q78" s="115" t="s">
        <v>22</v>
      </c>
      <c r="R78" s="107">
        <f>MATRIZ!$I$382</f>
        <v>2.87</v>
      </c>
      <c r="S78" s="318">
        <f t="shared" ref="S78" si="63">SUM(J78:R78)</f>
        <v>329.75999999999993</v>
      </c>
    </row>
    <row r="79" spans="2:19" s="1" customFormat="1" ht="15" customHeight="1" x14ac:dyDescent="0.2">
      <c r="B79" s="52">
        <f t="shared" ref="B79:B85" si="64">B55</f>
        <v>18435.109999999997</v>
      </c>
      <c r="C79" s="4"/>
      <c r="D79" s="113" t="s">
        <v>11</v>
      </c>
      <c r="E79" s="4"/>
      <c r="F79" s="113">
        <f t="shared" ref="F79:F85" si="65">F55</f>
        <v>36870.230000000003</v>
      </c>
      <c r="H79" s="106">
        <f>MATRIZ!I87</f>
        <v>251.49</v>
      </c>
      <c r="I79" s="16">
        <f>MATRIZ!$I$102</f>
        <v>32.29</v>
      </c>
      <c r="J79" s="107">
        <f t="shared" ref="J79:J86" si="66">SUM(H79:I79)</f>
        <v>283.78000000000003</v>
      </c>
      <c r="K79" s="107">
        <f t="shared" si="58"/>
        <v>5.67</v>
      </c>
      <c r="L79" s="107">
        <f t="shared" ref="L79:L86" si="67">TRUNC(J79*20%,2)</f>
        <v>56.75</v>
      </c>
      <c r="M79" s="107">
        <f t="shared" ref="M79:M86" si="68">TRUNC(J79*5%,2)</f>
        <v>14.18</v>
      </c>
      <c r="N79" s="107">
        <f t="shared" si="61"/>
        <v>14.18</v>
      </c>
      <c r="O79" s="107">
        <f t="shared" ref="O79:O86" si="69">TRUNC(J79*6%,2)</f>
        <v>17.02</v>
      </c>
      <c r="P79" s="107">
        <f t="shared" ref="P79:P86" si="70">TRUNC(J79*3%,2)</f>
        <v>8.51</v>
      </c>
      <c r="Q79" s="115" t="s">
        <v>22</v>
      </c>
      <c r="R79" s="107">
        <f>MATRIZ!$I$382</f>
        <v>2.87</v>
      </c>
      <c r="S79" s="318">
        <f t="shared" ref="S79:S86" si="71">SUM(J79:R79)</f>
        <v>402.96000000000004</v>
      </c>
    </row>
    <row r="80" spans="2:19" s="1" customFormat="1" ht="15" customHeight="1" x14ac:dyDescent="0.2">
      <c r="B80" s="52">
        <f t="shared" si="64"/>
        <v>36870.240000000005</v>
      </c>
      <c r="C80" s="4"/>
      <c r="D80" s="113" t="s">
        <v>11</v>
      </c>
      <c r="E80" s="4"/>
      <c r="F80" s="113">
        <f t="shared" si="65"/>
        <v>55305.35</v>
      </c>
      <c r="H80" s="106">
        <f>MATRIZ!I88</f>
        <v>355.16</v>
      </c>
      <c r="I80" s="16">
        <f>MATRIZ!$I$102</f>
        <v>32.29</v>
      </c>
      <c r="J80" s="107">
        <f t="shared" si="66"/>
        <v>387.45000000000005</v>
      </c>
      <c r="K80" s="107">
        <f t="shared" si="58"/>
        <v>7.74</v>
      </c>
      <c r="L80" s="107">
        <f t="shared" si="67"/>
        <v>77.489999999999995</v>
      </c>
      <c r="M80" s="107">
        <f t="shared" si="68"/>
        <v>19.37</v>
      </c>
      <c r="N80" s="107">
        <f t="shared" si="61"/>
        <v>19.37</v>
      </c>
      <c r="O80" s="107">
        <f t="shared" si="69"/>
        <v>23.24</v>
      </c>
      <c r="P80" s="107">
        <f t="shared" si="70"/>
        <v>11.62</v>
      </c>
      <c r="Q80" s="115" t="s">
        <v>22</v>
      </c>
      <c r="R80" s="107">
        <f>MATRIZ!$I$382</f>
        <v>2.87</v>
      </c>
      <c r="S80" s="318">
        <f t="shared" si="71"/>
        <v>549.15000000000009</v>
      </c>
    </row>
    <row r="81" spans="2:19" s="1" customFormat="1" ht="15" customHeight="1" x14ac:dyDescent="0.2">
      <c r="B81" s="52">
        <f t="shared" si="64"/>
        <v>55305.36</v>
      </c>
      <c r="C81" s="4"/>
      <c r="D81" s="113" t="s">
        <v>11</v>
      </c>
      <c r="E81" s="4"/>
      <c r="F81" s="113">
        <f t="shared" si="65"/>
        <v>73740.490000000005</v>
      </c>
      <c r="H81" s="106">
        <f>MATRIZ!I89</f>
        <v>407.25</v>
      </c>
      <c r="I81" s="16">
        <f>MATRIZ!$I$102</f>
        <v>32.29</v>
      </c>
      <c r="J81" s="107">
        <f t="shared" si="66"/>
        <v>439.54</v>
      </c>
      <c r="K81" s="107">
        <f t="shared" si="58"/>
        <v>8.7899999999999991</v>
      </c>
      <c r="L81" s="107">
        <f t="shared" si="67"/>
        <v>87.9</v>
      </c>
      <c r="M81" s="107">
        <f t="shared" si="68"/>
        <v>21.97</v>
      </c>
      <c r="N81" s="107">
        <f t="shared" si="61"/>
        <v>21.97</v>
      </c>
      <c r="O81" s="107">
        <f t="shared" si="69"/>
        <v>26.37</v>
      </c>
      <c r="P81" s="107">
        <f t="shared" si="70"/>
        <v>13.18</v>
      </c>
      <c r="Q81" s="115" t="s">
        <v>22</v>
      </c>
      <c r="R81" s="107">
        <f>MATRIZ!$I$382</f>
        <v>2.87</v>
      </c>
      <c r="S81" s="318">
        <f t="shared" si="71"/>
        <v>622.59</v>
      </c>
    </row>
    <row r="82" spans="2:19" s="1" customFormat="1" ht="15" customHeight="1" x14ac:dyDescent="0.2">
      <c r="B82" s="52">
        <f t="shared" si="64"/>
        <v>73740.5</v>
      </c>
      <c r="C82" s="4"/>
      <c r="D82" s="113" t="s">
        <v>11</v>
      </c>
      <c r="E82" s="4"/>
      <c r="F82" s="113">
        <f t="shared" si="65"/>
        <v>98320.639999999999</v>
      </c>
      <c r="H82" s="106">
        <f>MATRIZ!I90</f>
        <v>511.02</v>
      </c>
      <c r="I82" s="16">
        <f>MATRIZ!$I$102</f>
        <v>32.29</v>
      </c>
      <c r="J82" s="107">
        <f t="shared" si="66"/>
        <v>543.30999999999995</v>
      </c>
      <c r="K82" s="107">
        <f t="shared" si="58"/>
        <v>10.86</v>
      </c>
      <c r="L82" s="107">
        <f t="shared" si="67"/>
        <v>108.66</v>
      </c>
      <c r="M82" s="107">
        <f t="shared" si="68"/>
        <v>27.16</v>
      </c>
      <c r="N82" s="107">
        <f t="shared" si="61"/>
        <v>27.16</v>
      </c>
      <c r="O82" s="107">
        <f t="shared" si="69"/>
        <v>32.590000000000003</v>
      </c>
      <c r="P82" s="107">
        <f t="shared" si="70"/>
        <v>16.29</v>
      </c>
      <c r="Q82" s="115" t="s">
        <v>22</v>
      </c>
      <c r="R82" s="107">
        <f>MATRIZ!$I$382</f>
        <v>2.87</v>
      </c>
      <c r="S82" s="318">
        <f t="shared" si="71"/>
        <v>768.89999999999986</v>
      </c>
    </row>
    <row r="83" spans="2:19" s="1" customFormat="1" ht="12.75" x14ac:dyDescent="0.2">
      <c r="B83" s="52">
        <f t="shared" si="64"/>
        <v>98320.65</v>
      </c>
      <c r="C83" s="4"/>
      <c r="D83" s="113" t="s">
        <v>11</v>
      </c>
      <c r="E83" s="4"/>
      <c r="F83" s="113">
        <f t="shared" si="65"/>
        <v>122900.81</v>
      </c>
      <c r="H83" s="106">
        <f>MATRIZ!I91</f>
        <v>623.09</v>
      </c>
      <c r="I83" s="16">
        <f>MATRIZ!$I$102</f>
        <v>32.29</v>
      </c>
      <c r="J83" s="107">
        <f t="shared" si="66"/>
        <v>655.38</v>
      </c>
      <c r="K83" s="107">
        <f t="shared" si="58"/>
        <v>13.1</v>
      </c>
      <c r="L83" s="107">
        <f t="shared" si="67"/>
        <v>131.07</v>
      </c>
      <c r="M83" s="107">
        <f t="shared" si="68"/>
        <v>32.76</v>
      </c>
      <c r="N83" s="107">
        <f t="shared" si="61"/>
        <v>32.76</v>
      </c>
      <c r="O83" s="107">
        <f t="shared" si="69"/>
        <v>39.32</v>
      </c>
      <c r="P83" s="107">
        <f t="shared" si="70"/>
        <v>19.66</v>
      </c>
      <c r="Q83" s="115" t="s">
        <v>22</v>
      </c>
      <c r="R83" s="107">
        <f>MATRIZ!$I$382</f>
        <v>2.87</v>
      </c>
      <c r="S83" s="318">
        <f t="shared" si="71"/>
        <v>926.92</v>
      </c>
    </row>
    <row r="84" spans="2:19" s="1" customFormat="1" ht="15" customHeight="1" x14ac:dyDescent="0.2">
      <c r="B84" s="52">
        <f t="shared" si="64"/>
        <v>122900.81999999999</v>
      </c>
      <c r="C84" s="4"/>
      <c r="D84" s="113" t="s">
        <v>11</v>
      </c>
      <c r="E84" s="4"/>
      <c r="F84" s="113">
        <f t="shared" si="65"/>
        <v>245801.64</v>
      </c>
      <c r="H84" s="106">
        <f>MATRIZ!I92</f>
        <v>734.83</v>
      </c>
      <c r="I84" s="16">
        <f>MATRIZ!$I$102</f>
        <v>32.29</v>
      </c>
      <c r="J84" s="107">
        <f t="shared" si="66"/>
        <v>767.12</v>
      </c>
      <c r="K84" s="107">
        <f t="shared" si="58"/>
        <v>15.34</v>
      </c>
      <c r="L84" s="107">
        <f t="shared" si="67"/>
        <v>153.41999999999999</v>
      </c>
      <c r="M84" s="107">
        <f t="shared" si="68"/>
        <v>38.35</v>
      </c>
      <c r="N84" s="107">
        <f t="shared" si="61"/>
        <v>38.35</v>
      </c>
      <c r="O84" s="107">
        <f t="shared" si="69"/>
        <v>46.02</v>
      </c>
      <c r="P84" s="107">
        <f t="shared" si="70"/>
        <v>23.01</v>
      </c>
      <c r="Q84" s="115" t="s">
        <v>22</v>
      </c>
      <c r="R84" s="107">
        <f>MATRIZ!$I$382</f>
        <v>2.87</v>
      </c>
      <c r="S84" s="318">
        <f t="shared" si="71"/>
        <v>1084.48</v>
      </c>
    </row>
    <row r="85" spans="2:19" s="1" customFormat="1" ht="15" customHeight="1" x14ac:dyDescent="0.2">
      <c r="B85" s="52">
        <f t="shared" si="64"/>
        <v>245801.65000000002</v>
      </c>
      <c r="C85" s="4"/>
      <c r="D85" s="113" t="s">
        <v>11</v>
      </c>
      <c r="E85" s="4"/>
      <c r="F85" s="113">
        <f t="shared" si="65"/>
        <v>491603.3</v>
      </c>
      <c r="H85" s="106">
        <f>MATRIZ!I93</f>
        <v>799.62</v>
      </c>
      <c r="I85" s="16">
        <f>MATRIZ!$I$102</f>
        <v>32.29</v>
      </c>
      <c r="J85" s="107">
        <f t="shared" si="66"/>
        <v>831.91</v>
      </c>
      <c r="K85" s="107">
        <f t="shared" si="58"/>
        <v>16.63</v>
      </c>
      <c r="L85" s="107">
        <f t="shared" si="67"/>
        <v>166.38</v>
      </c>
      <c r="M85" s="107">
        <f t="shared" si="68"/>
        <v>41.59</v>
      </c>
      <c r="N85" s="107">
        <f t="shared" si="61"/>
        <v>41.59</v>
      </c>
      <c r="O85" s="107">
        <f t="shared" si="69"/>
        <v>49.91</v>
      </c>
      <c r="P85" s="107">
        <f t="shared" si="70"/>
        <v>24.95</v>
      </c>
      <c r="Q85" s="115" t="s">
        <v>22</v>
      </c>
      <c r="R85" s="107">
        <f>MATRIZ!$I$382</f>
        <v>2.87</v>
      </c>
      <c r="S85" s="318">
        <f t="shared" si="71"/>
        <v>1175.83</v>
      </c>
    </row>
    <row r="86" spans="2:19" s="1" customFormat="1" ht="15" customHeight="1" x14ac:dyDescent="0.2">
      <c r="B86" s="332" t="s">
        <v>254</v>
      </c>
      <c r="C86" s="4">
        <f>F85+0.01</f>
        <v>491603.31</v>
      </c>
      <c r="D86" s="4"/>
      <c r="E86" s="19" t="str">
        <f>E72</f>
        <v>(A cada 116.113,88, acrescentar...)</v>
      </c>
      <c r="F86" s="4"/>
      <c r="H86" s="106">
        <f>MATRIZ!I94</f>
        <v>110.43</v>
      </c>
      <c r="I86" s="310" t="s">
        <v>424</v>
      </c>
      <c r="J86" s="107">
        <f t="shared" si="66"/>
        <v>110.43</v>
      </c>
      <c r="K86" s="107">
        <f t="shared" si="58"/>
        <v>2.2000000000000002</v>
      </c>
      <c r="L86" s="107">
        <f t="shared" si="67"/>
        <v>22.08</v>
      </c>
      <c r="M86" s="107">
        <f t="shared" si="68"/>
        <v>5.52</v>
      </c>
      <c r="N86" s="107">
        <f t="shared" si="61"/>
        <v>5.52</v>
      </c>
      <c r="O86" s="107">
        <f t="shared" si="69"/>
        <v>6.62</v>
      </c>
      <c r="P86" s="107">
        <f t="shared" si="70"/>
        <v>3.31</v>
      </c>
      <c r="Q86" s="115" t="s">
        <v>22</v>
      </c>
      <c r="R86" s="107" t="s">
        <v>22</v>
      </c>
      <c r="S86" s="318">
        <f t="shared" si="71"/>
        <v>155.68000000000004</v>
      </c>
    </row>
    <row r="87" spans="2:19" s="1" customFormat="1" ht="12.75" customHeight="1" x14ac:dyDescent="0.2">
      <c r="B87" s="761" t="s">
        <v>470</v>
      </c>
      <c r="C87" s="762"/>
      <c r="D87" s="762"/>
      <c r="E87" s="762"/>
      <c r="F87" s="762"/>
      <c r="G87" s="762"/>
      <c r="H87" s="762"/>
      <c r="I87" s="762"/>
      <c r="J87" s="762"/>
      <c r="K87" s="968">
        <f>MATRIZ!I95</f>
        <v>40381.800000000003</v>
      </c>
      <c r="L87" s="969"/>
      <c r="M87" s="468"/>
      <c r="N87" s="468"/>
      <c r="O87" s="468"/>
      <c r="P87" s="468"/>
      <c r="Q87" s="468"/>
      <c r="R87" s="468"/>
      <c r="S87" s="294"/>
    </row>
    <row r="88" spans="2:19" s="1" customFormat="1" ht="10.5" customHeight="1" thickBot="1" x14ac:dyDescent="0.25">
      <c r="B88" s="60"/>
      <c r="C88" s="4"/>
      <c r="D88" s="4"/>
      <c r="E88" s="4"/>
      <c r="F88" s="4"/>
      <c r="G88" s="16"/>
      <c r="H88" s="16"/>
      <c r="I88" s="16"/>
      <c r="J88" s="16"/>
      <c r="K88" s="107"/>
      <c r="L88" s="107"/>
      <c r="M88" s="107"/>
      <c r="N88" s="107"/>
      <c r="O88" s="107"/>
      <c r="P88" s="107"/>
      <c r="Q88" s="4"/>
      <c r="R88" s="4"/>
      <c r="S88" s="298"/>
    </row>
    <row r="89" spans="2:19" s="1" customFormat="1" ht="15" customHeight="1" x14ac:dyDescent="0.2">
      <c r="B89" s="909" t="s">
        <v>57</v>
      </c>
      <c r="C89" s="910"/>
      <c r="D89" s="910"/>
      <c r="E89" s="910"/>
      <c r="F89" s="910"/>
      <c r="G89" s="911"/>
      <c r="H89" s="880" t="s">
        <v>45</v>
      </c>
      <c r="I89" s="10" t="s">
        <v>35</v>
      </c>
      <c r="J89" s="870" t="s">
        <v>3</v>
      </c>
      <c r="K89" s="469">
        <v>0.02</v>
      </c>
      <c r="L89" s="11">
        <v>0.2</v>
      </c>
      <c r="M89" s="469">
        <v>0.05</v>
      </c>
      <c r="N89" s="469">
        <v>0.05</v>
      </c>
      <c r="O89" s="469">
        <v>0.06</v>
      </c>
      <c r="P89" s="872" t="s">
        <v>5</v>
      </c>
      <c r="Q89" s="874" t="s">
        <v>36</v>
      </c>
      <c r="R89" s="874" t="s">
        <v>6</v>
      </c>
      <c r="S89" s="863" t="s">
        <v>7</v>
      </c>
    </row>
    <row r="90" spans="2:19" s="2" customFormat="1" ht="29.25" customHeight="1" thickBot="1" x14ac:dyDescent="0.3">
      <c r="B90" s="912" t="s">
        <v>526</v>
      </c>
      <c r="C90" s="913"/>
      <c r="D90" s="913"/>
      <c r="E90" s="913"/>
      <c r="F90" s="913"/>
      <c r="G90" s="914"/>
      <c r="H90" s="881"/>
      <c r="I90" s="133" t="s">
        <v>39</v>
      </c>
      <c r="J90" s="888"/>
      <c r="K90" s="12" t="s">
        <v>40</v>
      </c>
      <c r="L90" s="13" t="s">
        <v>41</v>
      </c>
      <c r="M90" s="12" t="s">
        <v>42</v>
      </c>
      <c r="N90" s="12" t="s">
        <v>43</v>
      </c>
      <c r="O90" s="12" t="s">
        <v>44</v>
      </c>
      <c r="P90" s="889"/>
      <c r="Q90" s="785"/>
      <c r="R90" s="785"/>
      <c r="S90" s="864"/>
    </row>
    <row r="91" spans="2:19" s="1" customFormat="1" ht="6.75" customHeight="1" x14ac:dyDescent="0.2">
      <c r="B91" s="292"/>
      <c r="C91" s="117"/>
      <c r="D91" s="117"/>
      <c r="E91" s="117"/>
      <c r="F91" s="117"/>
      <c r="G91" s="278"/>
      <c r="H91" s="277"/>
      <c r="I91" s="16"/>
      <c r="J91" s="16"/>
      <c r="K91" s="111"/>
      <c r="L91" s="118"/>
      <c r="Q91" s="9"/>
      <c r="S91" s="293"/>
    </row>
    <row r="92" spans="2:19" s="1" customFormat="1" ht="12.75" customHeight="1" x14ac:dyDescent="0.2">
      <c r="B92" s="78">
        <f>B78</f>
        <v>0.01</v>
      </c>
      <c r="C92" s="113"/>
      <c r="D92" s="113" t="s">
        <v>11</v>
      </c>
      <c r="E92" s="113"/>
      <c r="F92" s="113">
        <f>F78</f>
        <v>18435.099999999999</v>
      </c>
      <c r="H92" s="106">
        <f>MATRIZ!I86</f>
        <v>199.56</v>
      </c>
      <c r="I92" s="16">
        <f>MATRIZ!$I$102</f>
        <v>32.29</v>
      </c>
      <c r="J92" s="107">
        <f t="shared" ref="J92:J100" si="72">SUM(H92:I92)</f>
        <v>231.85</v>
      </c>
      <c r="K92" s="107">
        <f t="shared" ref="K92:K100" si="73">TRUNC(J92*2%,2)</f>
        <v>4.63</v>
      </c>
      <c r="L92" s="107">
        <f t="shared" ref="L92" si="74">TRUNC(J92*20%,2)</f>
        <v>46.37</v>
      </c>
      <c r="M92" s="107">
        <f t="shared" ref="M92" si="75">TRUNC(J92*5%,2)</f>
        <v>11.59</v>
      </c>
      <c r="N92" s="107">
        <f t="shared" ref="N92:N100" si="76">M92</f>
        <v>11.59</v>
      </c>
      <c r="O92" s="107">
        <f>TRUNC(J92*6%,2)</f>
        <v>13.91</v>
      </c>
      <c r="P92" s="107">
        <f t="shared" ref="P92" si="77">TRUNC(J92*3%,2)</f>
        <v>6.95</v>
      </c>
      <c r="Q92" s="115">
        <f>MATRIZ!$I$386</f>
        <v>42.28</v>
      </c>
      <c r="R92" s="107">
        <f>MATRIZ!$I$382</f>
        <v>2.87</v>
      </c>
      <c r="S92" s="318">
        <f t="shared" ref="S92" si="78">SUM(J92:R92)</f>
        <v>372.03999999999996</v>
      </c>
    </row>
    <row r="93" spans="2:19" s="1" customFormat="1" ht="15" customHeight="1" x14ac:dyDescent="0.2">
      <c r="B93" s="78">
        <f t="shared" ref="B93:B99" si="79">B79</f>
        <v>18435.109999999997</v>
      </c>
      <c r="C93" s="4"/>
      <c r="D93" s="113" t="s">
        <v>11</v>
      </c>
      <c r="E93" s="4"/>
      <c r="F93" s="113">
        <f t="shared" ref="F93:F99" si="80">F79</f>
        <v>36870.230000000003</v>
      </c>
      <c r="H93" s="106">
        <f>MATRIZ!I87</f>
        <v>251.49</v>
      </c>
      <c r="I93" s="16">
        <f>MATRIZ!$I$102</f>
        <v>32.29</v>
      </c>
      <c r="J93" s="107">
        <f t="shared" si="72"/>
        <v>283.78000000000003</v>
      </c>
      <c r="K93" s="107">
        <f t="shared" si="73"/>
        <v>5.67</v>
      </c>
      <c r="L93" s="107">
        <f t="shared" ref="L93:L100" si="81">TRUNC(J93*20%,2)</f>
        <v>56.75</v>
      </c>
      <c r="M93" s="107">
        <f t="shared" ref="M93:M100" si="82">TRUNC(J93*5%,2)</f>
        <v>14.18</v>
      </c>
      <c r="N93" s="107">
        <f t="shared" si="76"/>
        <v>14.18</v>
      </c>
      <c r="O93" s="107">
        <f t="shared" ref="O93:O100" si="83">TRUNC(J93*6%,2)</f>
        <v>17.02</v>
      </c>
      <c r="P93" s="107">
        <f t="shared" ref="P93:P100" si="84">TRUNC(J93*3%,2)</f>
        <v>8.51</v>
      </c>
      <c r="Q93" s="115">
        <f>MATRIZ!$I$386</f>
        <v>42.28</v>
      </c>
      <c r="R93" s="107">
        <f>MATRIZ!$I$382</f>
        <v>2.87</v>
      </c>
      <c r="S93" s="318">
        <f t="shared" ref="S93:S100" si="85">SUM(J93:R93)</f>
        <v>445.24</v>
      </c>
    </row>
    <row r="94" spans="2:19" s="1" customFormat="1" ht="15" customHeight="1" x14ac:dyDescent="0.2">
      <c r="B94" s="78">
        <f t="shared" si="79"/>
        <v>36870.240000000005</v>
      </c>
      <c r="C94" s="4"/>
      <c r="D94" s="113" t="s">
        <v>11</v>
      </c>
      <c r="E94" s="4"/>
      <c r="F94" s="113">
        <f t="shared" si="80"/>
        <v>55305.35</v>
      </c>
      <c r="H94" s="106">
        <f>MATRIZ!I88</f>
        <v>355.16</v>
      </c>
      <c r="I94" s="16">
        <f>MATRIZ!$I$102</f>
        <v>32.29</v>
      </c>
      <c r="J94" s="107">
        <f t="shared" si="72"/>
        <v>387.45000000000005</v>
      </c>
      <c r="K94" s="107">
        <f t="shared" si="73"/>
        <v>7.74</v>
      </c>
      <c r="L94" s="107">
        <f t="shared" si="81"/>
        <v>77.489999999999995</v>
      </c>
      <c r="M94" s="107">
        <f t="shared" si="82"/>
        <v>19.37</v>
      </c>
      <c r="N94" s="107">
        <f t="shared" si="76"/>
        <v>19.37</v>
      </c>
      <c r="O94" s="107">
        <f t="shared" si="83"/>
        <v>23.24</v>
      </c>
      <c r="P94" s="107">
        <f t="shared" si="84"/>
        <v>11.62</v>
      </c>
      <c r="Q94" s="115">
        <f>MATRIZ!$I$386</f>
        <v>42.28</v>
      </c>
      <c r="R94" s="107">
        <f>MATRIZ!$I$382</f>
        <v>2.87</v>
      </c>
      <c r="S94" s="318">
        <f t="shared" si="85"/>
        <v>591.43000000000006</v>
      </c>
    </row>
    <row r="95" spans="2:19" s="1" customFormat="1" ht="15" customHeight="1" x14ac:dyDescent="0.2">
      <c r="B95" s="78">
        <f t="shared" si="79"/>
        <v>55305.36</v>
      </c>
      <c r="C95" s="4"/>
      <c r="D95" s="113" t="s">
        <v>11</v>
      </c>
      <c r="E95" s="4"/>
      <c r="F95" s="113">
        <f t="shared" si="80"/>
        <v>73740.490000000005</v>
      </c>
      <c r="H95" s="106">
        <f>MATRIZ!I89</f>
        <v>407.25</v>
      </c>
      <c r="I95" s="16">
        <f>MATRIZ!$I$102</f>
        <v>32.29</v>
      </c>
      <c r="J95" s="107">
        <f t="shared" si="72"/>
        <v>439.54</v>
      </c>
      <c r="K95" s="107">
        <f t="shared" si="73"/>
        <v>8.7899999999999991</v>
      </c>
      <c r="L95" s="107">
        <f t="shared" si="81"/>
        <v>87.9</v>
      </c>
      <c r="M95" s="107">
        <f t="shared" si="82"/>
        <v>21.97</v>
      </c>
      <c r="N95" s="107">
        <f t="shared" si="76"/>
        <v>21.97</v>
      </c>
      <c r="O95" s="107">
        <f t="shared" si="83"/>
        <v>26.37</v>
      </c>
      <c r="P95" s="107">
        <f t="shared" si="84"/>
        <v>13.18</v>
      </c>
      <c r="Q95" s="115">
        <f>MATRIZ!$I$386</f>
        <v>42.28</v>
      </c>
      <c r="R95" s="107">
        <f>MATRIZ!$I$382</f>
        <v>2.87</v>
      </c>
      <c r="S95" s="318">
        <f t="shared" si="85"/>
        <v>664.87</v>
      </c>
    </row>
    <row r="96" spans="2:19" s="1" customFormat="1" ht="15" customHeight="1" x14ac:dyDescent="0.2">
      <c r="B96" s="78">
        <f t="shared" si="79"/>
        <v>73740.5</v>
      </c>
      <c r="C96" s="4"/>
      <c r="D96" s="113" t="s">
        <v>11</v>
      </c>
      <c r="E96" s="4"/>
      <c r="F96" s="113">
        <f t="shared" si="80"/>
        <v>98320.639999999999</v>
      </c>
      <c r="H96" s="106">
        <f>MATRIZ!I90</f>
        <v>511.02</v>
      </c>
      <c r="I96" s="16">
        <f>MATRIZ!$I$102</f>
        <v>32.29</v>
      </c>
      <c r="J96" s="107">
        <f t="shared" si="72"/>
        <v>543.30999999999995</v>
      </c>
      <c r="K96" s="107">
        <f t="shared" si="73"/>
        <v>10.86</v>
      </c>
      <c r="L96" s="107">
        <f t="shared" si="81"/>
        <v>108.66</v>
      </c>
      <c r="M96" s="107">
        <f t="shared" si="82"/>
        <v>27.16</v>
      </c>
      <c r="N96" s="107">
        <f t="shared" si="76"/>
        <v>27.16</v>
      </c>
      <c r="O96" s="107">
        <f t="shared" si="83"/>
        <v>32.590000000000003</v>
      </c>
      <c r="P96" s="107">
        <f t="shared" si="84"/>
        <v>16.29</v>
      </c>
      <c r="Q96" s="115">
        <f>MATRIZ!$I$386</f>
        <v>42.28</v>
      </c>
      <c r="R96" s="107">
        <f>MATRIZ!$I$382</f>
        <v>2.87</v>
      </c>
      <c r="S96" s="318">
        <f t="shared" si="85"/>
        <v>811.17999999999984</v>
      </c>
    </row>
    <row r="97" spans="2:20" s="1" customFormat="1" ht="12.75" x14ac:dyDescent="0.2">
      <c r="B97" s="78">
        <f t="shared" si="79"/>
        <v>98320.65</v>
      </c>
      <c r="C97" s="4"/>
      <c r="D97" s="113" t="s">
        <v>11</v>
      </c>
      <c r="E97" s="4"/>
      <c r="F97" s="113">
        <f t="shared" si="80"/>
        <v>122900.81</v>
      </c>
      <c r="H97" s="106">
        <f>MATRIZ!I91</f>
        <v>623.09</v>
      </c>
      <c r="I97" s="16">
        <f>MATRIZ!$I$102</f>
        <v>32.29</v>
      </c>
      <c r="J97" s="107">
        <f t="shared" si="72"/>
        <v>655.38</v>
      </c>
      <c r="K97" s="107">
        <f t="shared" si="73"/>
        <v>13.1</v>
      </c>
      <c r="L97" s="107">
        <f t="shared" si="81"/>
        <v>131.07</v>
      </c>
      <c r="M97" s="107">
        <f t="shared" si="82"/>
        <v>32.76</v>
      </c>
      <c r="N97" s="107">
        <f t="shared" si="76"/>
        <v>32.76</v>
      </c>
      <c r="O97" s="107">
        <f t="shared" si="83"/>
        <v>39.32</v>
      </c>
      <c r="P97" s="107">
        <f t="shared" si="84"/>
        <v>19.66</v>
      </c>
      <c r="Q97" s="115">
        <f>MATRIZ!$I$386</f>
        <v>42.28</v>
      </c>
      <c r="R97" s="107">
        <f>MATRIZ!$I$382</f>
        <v>2.87</v>
      </c>
      <c r="S97" s="318">
        <f t="shared" si="85"/>
        <v>969.19999999999993</v>
      </c>
    </row>
    <row r="98" spans="2:20" s="1" customFormat="1" ht="15" customHeight="1" x14ac:dyDescent="0.2">
      <c r="B98" s="78">
        <f t="shared" si="79"/>
        <v>122900.81999999999</v>
      </c>
      <c r="C98" s="4"/>
      <c r="D98" s="113" t="s">
        <v>11</v>
      </c>
      <c r="E98" s="4"/>
      <c r="F98" s="113">
        <f t="shared" si="80"/>
        <v>245801.64</v>
      </c>
      <c r="H98" s="106">
        <f>MATRIZ!I92</f>
        <v>734.83</v>
      </c>
      <c r="I98" s="16">
        <f>MATRIZ!$I$102</f>
        <v>32.29</v>
      </c>
      <c r="J98" s="107">
        <f t="shared" si="72"/>
        <v>767.12</v>
      </c>
      <c r="K98" s="107">
        <f t="shared" si="73"/>
        <v>15.34</v>
      </c>
      <c r="L98" s="107">
        <f t="shared" si="81"/>
        <v>153.41999999999999</v>
      </c>
      <c r="M98" s="107">
        <f t="shared" si="82"/>
        <v>38.35</v>
      </c>
      <c r="N98" s="107">
        <f t="shared" si="76"/>
        <v>38.35</v>
      </c>
      <c r="O98" s="107">
        <f t="shared" si="83"/>
        <v>46.02</v>
      </c>
      <c r="P98" s="107">
        <f t="shared" si="84"/>
        <v>23.01</v>
      </c>
      <c r="Q98" s="115">
        <f>MATRIZ!$I$386</f>
        <v>42.28</v>
      </c>
      <c r="R98" s="107">
        <f>MATRIZ!$I$382</f>
        <v>2.87</v>
      </c>
      <c r="S98" s="318">
        <f t="shared" si="85"/>
        <v>1126.76</v>
      </c>
    </row>
    <row r="99" spans="2:20" s="1" customFormat="1" ht="15" customHeight="1" x14ac:dyDescent="0.2">
      <c r="B99" s="78">
        <f t="shared" si="79"/>
        <v>245801.65000000002</v>
      </c>
      <c r="C99" s="4"/>
      <c r="D99" s="113" t="s">
        <v>11</v>
      </c>
      <c r="E99" s="4"/>
      <c r="F99" s="113">
        <f t="shared" si="80"/>
        <v>491603.3</v>
      </c>
      <c r="H99" s="106">
        <f>MATRIZ!I93</f>
        <v>799.62</v>
      </c>
      <c r="I99" s="16">
        <f>MATRIZ!$I$102</f>
        <v>32.29</v>
      </c>
      <c r="J99" s="107">
        <f t="shared" si="72"/>
        <v>831.91</v>
      </c>
      <c r="K99" s="107">
        <f t="shared" si="73"/>
        <v>16.63</v>
      </c>
      <c r="L99" s="107">
        <f t="shared" si="81"/>
        <v>166.38</v>
      </c>
      <c r="M99" s="107">
        <f t="shared" si="82"/>
        <v>41.59</v>
      </c>
      <c r="N99" s="107">
        <f t="shared" si="76"/>
        <v>41.59</v>
      </c>
      <c r="O99" s="107">
        <f t="shared" si="83"/>
        <v>49.91</v>
      </c>
      <c r="P99" s="107">
        <f t="shared" si="84"/>
        <v>24.95</v>
      </c>
      <c r="Q99" s="115">
        <f>MATRIZ!$I$386</f>
        <v>42.28</v>
      </c>
      <c r="R99" s="107">
        <f>MATRIZ!$I$382</f>
        <v>2.87</v>
      </c>
      <c r="S99" s="318">
        <f t="shared" si="85"/>
        <v>1218.1099999999999</v>
      </c>
    </row>
    <row r="100" spans="2:20" s="1" customFormat="1" ht="15" customHeight="1" x14ac:dyDescent="0.2">
      <c r="B100" s="55" t="s">
        <v>254</v>
      </c>
      <c r="C100" s="4">
        <f>F99+0.01</f>
        <v>491603.31</v>
      </c>
      <c r="D100" s="4"/>
      <c r="E100" s="19" t="str">
        <f>E86</f>
        <v>(A cada 116.113,88, acrescentar...)</v>
      </c>
      <c r="F100" s="4"/>
      <c r="H100" s="353">
        <f>MATRIZ!I94</f>
        <v>110.43</v>
      </c>
      <c r="I100" s="360" t="s">
        <v>424</v>
      </c>
      <c r="J100" s="107">
        <f t="shared" si="72"/>
        <v>110.43</v>
      </c>
      <c r="K100" s="107">
        <f t="shared" si="73"/>
        <v>2.2000000000000002</v>
      </c>
      <c r="L100" s="107">
        <f t="shared" si="81"/>
        <v>22.08</v>
      </c>
      <c r="M100" s="107">
        <f t="shared" si="82"/>
        <v>5.52</v>
      </c>
      <c r="N100" s="107">
        <f t="shared" si="76"/>
        <v>5.52</v>
      </c>
      <c r="O100" s="107">
        <f t="shared" si="83"/>
        <v>6.62</v>
      </c>
      <c r="P100" s="107">
        <f t="shared" si="84"/>
        <v>3.31</v>
      </c>
      <c r="Q100" s="115" t="s">
        <v>22</v>
      </c>
      <c r="R100" s="107" t="s">
        <v>22</v>
      </c>
      <c r="S100" s="318">
        <f t="shared" si="85"/>
        <v>155.68000000000004</v>
      </c>
    </row>
    <row r="101" spans="2:20" s="1" customFormat="1" ht="15.75" customHeight="1" x14ac:dyDescent="0.2">
      <c r="B101" s="915" t="s">
        <v>470</v>
      </c>
      <c r="C101" s="916"/>
      <c r="D101" s="916"/>
      <c r="E101" s="916"/>
      <c r="F101" s="916"/>
      <c r="G101" s="916"/>
      <c r="H101" s="916"/>
      <c r="I101" s="916"/>
      <c r="J101" s="916"/>
      <c r="K101" s="968">
        <f>MATRIZ!I95</f>
        <v>40381.800000000003</v>
      </c>
      <c r="L101" s="969"/>
      <c r="M101" s="467"/>
      <c r="N101" s="467"/>
      <c r="O101" s="467"/>
      <c r="P101" s="467"/>
      <c r="Q101" s="467"/>
      <c r="R101" s="467"/>
      <c r="S101" s="290"/>
    </row>
    <row r="102" spans="2:20" s="1" customFormat="1" ht="13.5" customHeight="1" thickBot="1" x14ac:dyDescent="0.25">
      <c r="B102" s="471"/>
      <c r="C102" s="472"/>
      <c r="D102" s="472"/>
      <c r="E102" s="472"/>
      <c r="F102" s="472"/>
      <c r="G102" s="470"/>
      <c r="H102" s="470"/>
      <c r="I102" s="28"/>
      <c r="J102" s="470"/>
      <c r="K102" s="132"/>
      <c r="L102" s="132"/>
      <c r="M102" s="132"/>
      <c r="N102" s="132"/>
      <c r="O102" s="132"/>
      <c r="P102" s="132"/>
      <c r="Q102" s="20"/>
      <c r="R102" s="20"/>
      <c r="S102" s="299"/>
    </row>
    <row r="103" spans="2:20" s="1" customFormat="1" ht="17.25" customHeight="1" x14ac:dyDescent="0.2">
      <c r="B103" s="900" t="s">
        <v>60</v>
      </c>
      <c r="C103" s="901"/>
      <c r="D103" s="901"/>
      <c r="E103" s="901"/>
      <c r="F103" s="901"/>
      <c r="G103" s="902"/>
      <c r="H103" s="880" t="s">
        <v>45</v>
      </c>
      <c r="I103" s="10" t="s">
        <v>35</v>
      </c>
      <c r="J103" s="870" t="s">
        <v>3</v>
      </c>
      <c r="K103" s="469">
        <v>0.02</v>
      </c>
      <c r="L103" s="11">
        <v>0.2</v>
      </c>
      <c r="M103" s="469">
        <v>0.05</v>
      </c>
      <c r="N103" s="469">
        <v>0.05</v>
      </c>
      <c r="O103" s="469">
        <v>0.06</v>
      </c>
      <c r="P103" s="872" t="s">
        <v>5</v>
      </c>
      <c r="Q103" s="874" t="s">
        <v>36</v>
      </c>
      <c r="R103" s="874" t="s">
        <v>6</v>
      </c>
      <c r="S103" s="863" t="s">
        <v>7</v>
      </c>
    </row>
    <row r="104" spans="2:20" s="1" customFormat="1" ht="24.75" customHeight="1" thickBot="1" x14ac:dyDescent="0.25">
      <c r="B104" s="897" t="s">
        <v>61</v>
      </c>
      <c r="C104" s="898"/>
      <c r="D104" s="898"/>
      <c r="E104" s="898"/>
      <c r="F104" s="898"/>
      <c r="G104" s="899"/>
      <c r="H104" s="881"/>
      <c r="I104" s="133" t="s">
        <v>39</v>
      </c>
      <c r="J104" s="888"/>
      <c r="K104" s="12" t="s">
        <v>40</v>
      </c>
      <c r="L104" s="13" t="s">
        <v>41</v>
      </c>
      <c r="M104" s="12" t="s">
        <v>42</v>
      </c>
      <c r="N104" s="12" t="s">
        <v>43</v>
      </c>
      <c r="O104" s="12" t="s">
        <v>44</v>
      </c>
      <c r="P104" s="889"/>
      <c r="Q104" s="785"/>
      <c r="R104" s="785"/>
      <c r="S104" s="864"/>
    </row>
    <row r="105" spans="2:20" s="1" customFormat="1" ht="19.5" customHeight="1" x14ac:dyDescent="0.2">
      <c r="B105" s="926" t="s">
        <v>62</v>
      </c>
      <c r="C105" s="927"/>
      <c r="D105" s="927"/>
      <c r="E105" s="927"/>
      <c r="F105" s="927"/>
      <c r="G105" s="928"/>
      <c r="H105" s="319">
        <f>MATRIZ!I100</f>
        <v>160.44</v>
      </c>
      <c r="I105" s="16">
        <f>MATRIZ!$I$102</f>
        <v>32.29</v>
      </c>
      <c r="J105" s="107">
        <f t="shared" ref="J105:J139" si="86">SUM(H105:I105)</f>
        <v>192.73</v>
      </c>
      <c r="K105" s="107">
        <f t="shared" ref="K105:K139" si="87">TRUNC(J105*2%,2)</f>
        <v>3.85</v>
      </c>
      <c r="L105" s="107">
        <f t="shared" ref="L105" si="88">TRUNC(J105*20%,2)</f>
        <v>38.54</v>
      </c>
      <c r="M105" s="107">
        <f t="shared" ref="M105" si="89">TRUNC(J105*5%,2)</f>
        <v>9.6300000000000008</v>
      </c>
      <c r="N105" s="107">
        <f t="shared" ref="N105:N139" si="90">M105</f>
        <v>9.6300000000000008</v>
      </c>
      <c r="O105" s="107">
        <f>TRUNC(J105*6%,2)</f>
        <v>11.56</v>
      </c>
      <c r="P105" s="107">
        <f t="shared" ref="P105" si="91">TRUNC(J105*3%,2)</f>
        <v>5.78</v>
      </c>
      <c r="Q105" s="107" t="s">
        <v>22</v>
      </c>
      <c r="R105" s="107">
        <f>MATRIZ!$I$382</f>
        <v>2.87</v>
      </c>
      <c r="S105" s="318">
        <f t="shared" ref="S105" si="92">SUM(J105:R105)</f>
        <v>274.58999999999992</v>
      </c>
      <c r="T105" s="59"/>
    </row>
    <row r="106" spans="2:20" s="1" customFormat="1" ht="23.25" customHeight="1" x14ac:dyDescent="0.2">
      <c r="B106" s="920" t="s">
        <v>63</v>
      </c>
      <c r="C106" s="921"/>
      <c r="D106" s="921"/>
      <c r="E106" s="921"/>
      <c r="F106" s="921"/>
      <c r="G106" s="921"/>
      <c r="H106" s="355">
        <f>MATRIZ!I100</f>
        <v>160.44</v>
      </c>
      <c r="I106" s="355">
        <f>MATRIZ!$I$102</f>
        <v>32.29</v>
      </c>
      <c r="J106" s="107">
        <f t="shared" si="86"/>
        <v>192.73</v>
      </c>
      <c r="K106" s="107">
        <f t="shared" si="87"/>
        <v>3.85</v>
      </c>
      <c r="L106" s="107">
        <f t="shared" ref="L106:L139" si="93">TRUNC(J106*20%,2)</f>
        <v>38.54</v>
      </c>
      <c r="M106" s="107">
        <f t="shared" ref="M106:M139" si="94">TRUNC(J106*5%,2)</f>
        <v>9.6300000000000008</v>
      </c>
      <c r="N106" s="107">
        <f t="shared" si="90"/>
        <v>9.6300000000000008</v>
      </c>
      <c r="O106" s="107">
        <f t="shared" ref="O106:O139" si="95">TRUNC(J106*6%,2)</f>
        <v>11.56</v>
      </c>
      <c r="P106" s="107">
        <f t="shared" ref="P106:P139" si="96">TRUNC(J106*3%,2)</f>
        <v>5.78</v>
      </c>
      <c r="Q106" s="107" t="s">
        <v>22</v>
      </c>
      <c r="R106" s="107">
        <f>MATRIZ!$I$382</f>
        <v>2.87</v>
      </c>
      <c r="S106" s="318">
        <f t="shared" ref="S106:S139" si="97">SUM(J106:R106)</f>
        <v>274.58999999999992</v>
      </c>
    </row>
    <row r="107" spans="2:20" s="1" customFormat="1" ht="33.75" customHeight="1" x14ac:dyDescent="0.2">
      <c r="B107" s="923" t="s">
        <v>64</v>
      </c>
      <c r="C107" s="924"/>
      <c r="D107" s="924"/>
      <c r="E107" s="924"/>
      <c r="F107" s="924"/>
      <c r="G107" s="925"/>
      <c r="H107" s="30">
        <f>MATRIZ!I100</f>
        <v>160.44</v>
      </c>
      <c r="I107" s="16">
        <f>MATRIZ!$I$102</f>
        <v>32.29</v>
      </c>
      <c r="J107" s="107">
        <f t="shared" si="86"/>
        <v>192.73</v>
      </c>
      <c r="K107" s="107">
        <f t="shared" si="87"/>
        <v>3.85</v>
      </c>
      <c r="L107" s="107">
        <f t="shared" si="93"/>
        <v>38.54</v>
      </c>
      <c r="M107" s="107">
        <f t="shared" si="94"/>
        <v>9.6300000000000008</v>
      </c>
      <c r="N107" s="107">
        <f t="shared" si="90"/>
        <v>9.6300000000000008</v>
      </c>
      <c r="O107" s="107">
        <f t="shared" si="95"/>
        <v>11.56</v>
      </c>
      <c r="P107" s="107">
        <f t="shared" si="96"/>
        <v>5.78</v>
      </c>
      <c r="Q107" s="107" t="s">
        <v>22</v>
      </c>
      <c r="R107" s="107">
        <f>MATRIZ!$I$382</f>
        <v>2.87</v>
      </c>
      <c r="S107" s="318">
        <f t="shared" si="97"/>
        <v>274.58999999999992</v>
      </c>
    </row>
    <row r="108" spans="2:20" s="1" customFormat="1" ht="19.5" customHeight="1" x14ac:dyDescent="0.2">
      <c r="B108" s="920" t="s">
        <v>65</v>
      </c>
      <c r="C108" s="921"/>
      <c r="D108" s="921"/>
      <c r="E108" s="921"/>
      <c r="F108" s="921"/>
      <c r="G108" s="922"/>
      <c r="H108" s="30">
        <f>MATRIZ!I101</f>
        <v>498.2</v>
      </c>
      <c r="I108" s="16">
        <f>MATRIZ!$I$102</f>
        <v>32.29</v>
      </c>
      <c r="J108" s="107">
        <f t="shared" si="86"/>
        <v>530.49</v>
      </c>
      <c r="K108" s="107">
        <f t="shared" si="87"/>
        <v>10.6</v>
      </c>
      <c r="L108" s="107">
        <f t="shared" si="93"/>
        <v>106.09</v>
      </c>
      <c r="M108" s="107">
        <f t="shared" si="94"/>
        <v>26.52</v>
      </c>
      <c r="N108" s="107">
        <f t="shared" si="90"/>
        <v>26.52</v>
      </c>
      <c r="O108" s="107">
        <f t="shared" si="95"/>
        <v>31.82</v>
      </c>
      <c r="P108" s="107">
        <f t="shared" si="96"/>
        <v>15.91</v>
      </c>
      <c r="Q108" s="107" t="s">
        <v>22</v>
      </c>
      <c r="R108" s="107">
        <f>MATRIZ!$I$382</f>
        <v>2.87</v>
      </c>
      <c r="S108" s="318">
        <f t="shared" si="97"/>
        <v>750.82</v>
      </c>
    </row>
    <row r="109" spans="2:20" s="1" customFormat="1" ht="21.75" customHeight="1" x14ac:dyDescent="0.2">
      <c r="B109" s="920" t="s">
        <v>66</v>
      </c>
      <c r="C109" s="921"/>
      <c r="D109" s="921"/>
      <c r="E109" s="921"/>
      <c r="F109" s="921"/>
      <c r="G109" s="922"/>
      <c r="H109" s="30">
        <f>MATRIZ!I102</f>
        <v>32.29</v>
      </c>
      <c r="I109" s="114">
        <v>0</v>
      </c>
      <c r="J109" s="107">
        <f t="shared" si="86"/>
        <v>32.29</v>
      </c>
      <c r="K109" s="107">
        <f t="shared" si="87"/>
        <v>0.64</v>
      </c>
      <c r="L109" s="107">
        <f t="shared" si="93"/>
        <v>6.45</v>
      </c>
      <c r="M109" s="107">
        <f t="shared" si="94"/>
        <v>1.61</v>
      </c>
      <c r="N109" s="107">
        <f t="shared" si="90"/>
        <v>1.61</v>
      </c>
      <c r="O109" s="107">
        <f t="shared" si="95"/>
        <v>1.93</v>
      </c>
      <c r="P109" s="107">
        <f t="shared" si="96"/>
        <v>0.96</v>
      </c>
      <c r="Q109" s="107" t="s">
        <v>22</v>
      </c>
      <c r="R109" s="107">
        <f>MATRIZ!$I$382</f>
        <v>2.87</v>
      </c>
      <c r="S109" s="318">
        <f t="shared" si="97"/>
        <v>48.36</v>
      </c>
    </row>
    <row r="110" spans="2:20" s="1" customFormat="1" ht="24" customHeight="1" x14ac:dyDescent="0.2">
      <c r="B110" s="917" t="s">
        <v>67</v>
      </c>
      <c r="C110" s="918"/>
      <c r="D110" s="918"/>
      <c r="E110" s="918"/>
      <c r="F110" s="918"/>
      <c r="G110" s="919"/>
      <c r="H110" s="30">
        <f>MATRIZ!I103</f>
        <v>46.44</v>
      </c>
      <c r="I110" s="16">
        <f>MATRIZ!$I$102</f>
        <v>32.29</v>
      </c>
      <c r="J110" s="107">
        <f t="shared" si="86"/>
        <v>78.72999999999999</v>
      </c>
      <c r="K110" s="107">
        <f t="shared" si="87"/>
        <v>1.57</v>
      </c>
      <c r="L110" s="107">
        <f t="shared" si="93"/>
        <v>15.74</v>
      </c>
      <c r="M110" s="107">
        <f t="shared" si="94"/>
        <v>3.93</v>
      </c>
      <c r="N110" s="107">
        <f t="shared" si="90"/>
        <v>3.93</v>
      </c>
      <c r="O110" s="107">
        <f t="shared" si="95"/>
        <v>4.72</v>
      </c>
      <c r="P110" s="107">
        <f t="shared" si="96"/>
        <v>2.36</v>
      </c>
      <c r="Q110" s="107" t="s">
        <v>22</v>
      </c>
      <c r="R110" s="107">
        <f>MATRIZ!$I$382</f>
        <v>2.87</v>
      </c>
      <c r="S110" s="318">
        <f t="shared" si="97"/>
        <v>113.85</v>
      </c>
    </row>
    <row r="111" spans="2:20" s="1" customFormat="1" ht="15" customHeight="1" x14ac:dyDescent="0.25">
      <c r="B111" s="971" t="s">
        <v>68</v>
      </c>
      <c r="C111" s="972"/>
      <c r="D111" s="972"/>
      <c r="E111" s="972"/>
      <c r="F111" s="972"/>
      <c r="H111" s="354" t="str">
        <f>MATRIZ!I104</f>
        <v>---</v>
      </c>
      <c r="I111" s="16"/>
      <c r="J111" s="107"/>
      <c r="K111" s="107"/>
      <c r="L111" s="107"/>
      <c r="M111" s="107"/>
      <c r="N111" s="107"/>
      <c r="O111" s="107"/>
      <c r="P111" s="107"/>
      <c r="Q111" s="107"/>
      <c r="R111" s="107"/>
      <c r="S111" s="318"/>
    </row>
    <row r="112" spans="2:20" s="1" customFormat="1" ht="18" customHeight="1" x14ac:dyDescent="0.2">
      <c r="B112" s="973" t="s">
        <v>69</v>
      </c>
      <c r="C112" s="974"/>
      <c r="D112" s="974"/>
      <c r="E112" s="974"/>
      <c r="F112" s="974"/>
      <c r="H112" s="30">
        <f>MATRIZ!I105</f>
        <v>240.28</v>
      </c>
      <c r="I112" s="16">
        <f>MATRIZ!$I$102</f>
        <v>32.29</v>
      </c>
      <c r="J112" s="107">
        <f t="shared" si="86"/>
        <v>272.57</v>
      </c>
      <c r="K112" s="107">
        <f t="shared" si="87"/>
        <v>5.45</v>
      </c>
      <c r="L112" s="107">
        <f t="shared" si="93"/>
        <v>54.51</v>
      </c>
      <c r="M112" s="107">
        <f t="shared" si="94"/>
        <v>13.62</v>
      </c>
      <c r="N112" s="107">
        <f t="shared" si="90"/>
        <v>13.62</v>
      </c>
      <c r="O112" s="107">
        <f t="shared" si="95"/>
        <v>16.350000000000001</v>
      </c>
      <c r="P112" s="107">
        <f t="shared" si="96"/>
        <v>8.17</v>
      </c>
      <c r="Q112" s="107" t="s">
        <v>22</v>
      </c>
      <c r="R112" s="107">
        <f>MATRIZ!$I$382</f>
        <v>2.87</v>
      </c>
      <c r="S112" s="318">
        <f t="shared" si="97"/>
        <v>387.16</v>
      </c>
    </row>
    <row r="113" spans="2:19" s="1" customFormat="1" ht="18" customHeight="1" x14ac:dyDescent="0.2">
      <c r="B113" s="938" t="s">
        <v>70</v>
      </c>
      <c r="C113" s="939"/>
      <c r="D113" s="939"/>
      <c r="E113" s="939"/>
      <c r="F113" s="939"/>
      <c r="H113" s="30">
        <f>MATRIZ!I106</f>
        <v>27.28</v>
      </c>
      <c r="I113" s="134" t="s">
        <v>22</v>
      </c>
      <c r="J113" s="107">
        <f t="shared" si="86"/>
        <v>27.28</v>
      </c>
      <c r="K113" s="107">
        <f t="shared" si="87"/>
        <v>0.54</v>
      </c>
      <c r="L113" s="107">
        <f t="shared" si="93"/>
        <v>5.45</v>
      </c>
      <c r="M113" s="107">
        <f t="shared" si="94"/>
        <v>1.36</v>
      </c>
      <c r="N113" s="107">
        <f t="shared" si="90"/>
        <v>1.36</v>
      </c>
      <c r="O113" s="107">
        <f t="shared" si="95"/>
        <v>1.63</v>
      </c>
      <c r="P113" s="107">
        <f t="shared" si="96"/>
        <v>0.81</v>
      </c>
      <c r="Q113" s="107" t="s">
        <v>22</v>
      </c>
      <c r="R113" s="107">
        <f>MATRIZ!$I$382</f>
        <v>2.87</v>
      </c>
      <c r="S113" s="318">
        <f t="shared" si="97"/>
        <v>41.300000000000004</v>
      </c>
    </row>
    <row r="114" spans="2:19" s="1" customFormat="1" ht="18" customHeight="1" x14ac:dyDescent="0.2">
      <c r="B114" s="938" t="s">
        <v>71</v>
      </c>
      <c r="C114" s="939"/>
      <c r="D114" s="939"/>
      <c r="E114" s="939"/>
      <c r="F114" s="939"/>
      <c r="H114" s="30">
        <f>MATRIZ!I107</f>
        <v>24.8</v>
      </c>
      <c r="I114" s="134" t="s">
        <v>22</v>
      </c>
      <c r="J114" s="107">
        <f t="shared" si="86"/>
        <v>24.8</v>
      </c>
      <c r="K114" s="107">
        <f t="shared" si="87"/>
        <v>0.49</v>
      </c>
      <c r="L114" s="107">
        <f t="shared" si="93"/>
        <v>4.96</v>
      </c>
      <c r="M114" s="107">
        <f t="shared" si="94"/>
        <v>1.24</v>
      </c>
      <c r="N114" s="107">
        <f t="shared" si="90"/>
        <v>1.24</v>
      </c>
      <c r="O114" s="107">
        <f t="shared" si="95"/>
        <v>1.48</v>
      </c>
      <c r="P114" s="107">
        <f t="shared" si="96"/>
        <v>0.74</v>
      </c>
      <c r="Q114" s="107" t="s">
        <v>22</v>
      </c>
      <c r="R114" s="107">
        <f>MATRIZ!$I$382</f>
        <v>2.87</v>
      </c>
      <c r="S114" s="318">
        <f t="shared" si="97"/>
        <v>37.819999999999993</v>
      </c>
    </row>
    <row r="115" spans="2:19" s="1" customFormat="1" ht="38.25" customHeight="1" x14ac:dyDescent="0.2">
      <c r="B115" s="940" t="s">
        <v>72</v>
      </c>
      <c r="C115" s="941"/>
      <c r="D115" s="941"/>
      <c r="E115" s="941"/>
      <c r="F115" s="941"/>
      <c r="G115" s="942"/>
      <c r="H115" s="30">
        <f>MATRIZ!I108</f>
        <v>108.6</v>
      </c>
      <c r="I115" s="33" t="s">
        <v>22</v>
      </c>
      <c r="J115" s="107">
        <f t="shared" si="86"/>
        <v>108.6</v>
      </c>
      <c r="K115" s="107">
        <f t="shared" si="87"/>
        <v>2.17</v>
      </c>
      <c r="L115" s="107">
        <f t="shared" si="93"/>
        <v>21.72</v>
      </c>
      <c r="M115" s="107">
        <f t="shared" si="94"/>
        <v>5.43</v>
      </c>
      <c r="N115" s="107">
        <f t="shared" si="90"/>
        <v>5.43</v>
      </c>
      <c r="O115" s="107">
        <f t="shared" si="95"/>
        <v>6.51</v>
      </c>
      <c r="P115" s="107">
        <f t="shared" si="96"/>
        <v>3.25</v>
      </c>
      <c r="Q115" s="107" t="s">
        <v>22</v>
      </c>
      <c r="R115" s="107">
        <f>MATRIZ!$I$382</f>
        <v>2.87</v>
      </c>
      <c r="S115" s="318">
        <f t="shared" si="97"/>
        <v>155.98000000000002</v>
      </c>
    </row>
    <row r="116" spans="2:19" s="1" customFormat="1" ht="21" customHeight="1" x14ac:dyDescent="0.2">
      <c r="B116" s="920" t="s">
        <v>73</v>
      </c>
      <c r="C116" s="921"/>
      <c r="D116" s="921"/>
      <c r="E116" s="921"/>
      <c r="F116" s="921"/>
      <c r="H116" s="339" t="s">
        <v>424</v>
      </c>
      <c r="I116" s="16"/>
      <c r="J116" s="107"/>
      <c r="K116" s="107">
        <f t="shared" si="87"/>
        <v>0</v>
      </c>
      <c r="L116" s="107">
        <f t="shared" si="93"/>
        <v>0</v>
      </c>
      <c r="M116" s="107">
        <f t="shared" si="94"/>
        <v>0</v>
      </c>
      <c r="N116" s="107">
        <f t="shared" si="90"/>
        <v>0</v>
      </c>
      <c r="O116" s="107">
        <f t="shared" si="95"/>
        <v>0</v>
      </c>
      <c r="P116" s="107">
        <f t="shared" si="96"/>
        <v>0</v>
      </c>
      <c r="Q116" s="107" t="s">
        <v>22</v>
      </c>
      <c r="R116" s="107" t="s">
        <v>22</v>
      </c>
      <c r="S116" s="318">
        <f t="shared" si="97"/>
        <v>0</v>
      </c>
    </row>
    <row r="117" spans="2:19" s="1" customFormat="1" ht="18" customHeight="1" x14ac:dyDescent="0.2">
      <c r="B117" s="934" t="s">
        <v>74</v>
      </c>
      <c r="C117" s="935"/>
      <c r="D117" s="935"/>
      <c r="E117" s="935"/>
      <c r="F117" s="935"/>
      <c r="H117" s="106">
        <f>MATRIZ!I110</f>
        <v>9.14</v>
      </c>
      <c r="I117" s="16">
        <f>MATRIZ!$I$102</f>
        <v>32.29</v>
      </c>
      <c r="J117" s="107">
        <f t="shared" si="86"/>
        <v>41.43</v>
      </c>
      <c r="K117" s="107">
        <f t="shared" si="87"/>
        <v>0.82</v>
      </c>
      <c r="L117" s="107">
        <f t="shared" si="93"/>
        <v>8.2799999999999994</v>
      </c>
      <c r="M117" s="107">
        <f t="shared" si="94"/>
        <v>2.0699999999999998</v>
      </c>
      <c r="N117" s="107">
        <f t="shared" si="90"/>
        <v>2.0699999999999998</v>
      </c>
      <c r="O117" s="107">
        <f t="shared" si="95"/>
        <v>2.48</v>
      </c>
      <c r="P117" s="107">
        <f t="shared" si="96"/>
        <v>1.24</v>
      </c>
      <c r="Q117" s="107" t="s">
        <v>22</v>
      </c>
      <c r="R117" s="107">
        <f>MATRIZ!$I$382</f>
        <v>2.87</v>
      </c>
      <c r="S117" s="318">
        <f t="shared" si="97"/>
        <v>61.26</v>
      </c>
    </row>
    <row r="118" spans="2:19" s="1" customFormat="1" ht="18" customHeight="1" x14ac:dyDescent="0.2">
      <c r="B118" s="934" t="s">
        <v>75</v>
      </c>
      <c r="C118" s="935"/>
      <c r="D118" s="935"/>
      <c r="E118" s="935"/>
      <c r="F118" s="935"/>
      <c r="H118" s="106">
        <f>MATRIZ!I111</f>
        <v>1.88</v>
      </c>
      <c r="I118" s="134" t="s">
        <v>22</v>
      </c>
      <c r="J118" s="107">
        <f t="shared" si="86"/>
        <v>1.88</v>
      </c>
      <c r="K118" s="107">
        <f t="shared" si="87"/>
        <v>0.03</v>
      </c>
      <c r="L118" s="107">
        <f t="shared" si="93"/>
        <v>0.37</v>
      </c>
      <c r="M118" s="107">
        <f t="shared" si="94"/>
        <v>0.09</v>
      </c>
      <c r="N118" s="107">
        <f t="shared" si="90"/>
        <v>0.09</v>
      </c>
      <c r="O118" s="107">
        <f t="shared" si="95"/>
        <v>0.11</v>
      </c>
      <c r="P118" s="107">
        <f t="shared" si="96"/>
        <v>0.05</v>
      </c>
      <c r="Q118" s="107" t="s">
        <v>22</v>
      </c>
      <c r="R118" s="107">
        <f>MATRIZ!$I$382</f>
        <v>2.87</v>
      </c>
      <c r="S118" s="318">
        <f t="shared" si="97"/>
        <v>5.4899999999999993</v>
      </c>
    </row>
    <row r="119" spans="2:19" s="1" customFormat="1" ht="14.25" customHeight="1" x14ac:dyDescent="0.2">
      <c r="B119" s="934" t="s">
        <v>76</v>
      </c>
      <c r="C119" s="935"/>
      <c r="D119" s="935"/>
      <c r="E119" s="935"/>
      <c r="F119" s="935"/>
      <c r="H119" s="29" t="s">
        <v>77</v>
      </c>
      <c r="I119" s="16"/>
      <c r="J119" s="107"/>
      <c r="K119" s="107"/>
      <c r="L119" s="107"/>
      <c r="M119" s="107"/>
      <c r="N119" s="107"/>
      <c r="O119" s="107"/>
      <c r="P119" s="107"/>
      <c r="Q119" s="107"/>
      <c r="R119" s="107"/>
      <c r="S119" s="318"/>
    </row>
    <row r="120" spans="2:19" ht="16.5" customHeight="1" x14ac:dyDescent="0.2">
      <c r="B120" s="936" t="s">
        <v>78</v>
      </c>
      <c r="C120" s="937"/>
      <c r="D120" s="937"/>
      <c r="E120" s="937"/>
      <c r="F120" s="937"/>
      <c r="H120" s="245" t="s">
        <v>424</v>
      </c>
      <c r="I120" s="16"/>
      <c r="J120" s="107"/>
      <c r="K120" s="107"/>
      <c r="L120" s="107"/>
      <c r="M120" s="107"/>
      <c r="N120" s="107"/>
      <c r="O120" s="107"/>
      <c r="P120" s="107"/>
      <c r="Q120" s="107"/>
      <c r="R120" s="107"/>
      <c r="S120" s="318"/>
    </row>
    <row r="121" spans="2:19" ht="14.25" customHeight="1" x14ac:dyDescent="0.2">
      <c r="B121" s="936" t="s">
        <v>79</v>
      </c>
      <c r="C121" s="937"/>
      <c r="D121" s="937"/>
      <c r="E121" s="937"/>
      <c r="F121" s="937"/>
      <c r="H121" s="245" t="s">
        <v>424</v>
      </c>
      <c r="I121" s="16"/>
      <c r="J121" s="107"/>
      <c r="K121" s="107"/>
      <c r="L121" s="107"/>
      <c r="M121" s="107"/>
      <c r="N121" s="107"/>
      <c r="O121" s="107"/>
      <c r="P121" s="107"/>
      <c r="Q121" s="107"/>
      <c r="R121" s="107"/>
      <c r="S121" s="318"/>
    </row>
    <row r="122" spans="2:19" ht="14.25" customHeight="1" x14ac:dyDescent="0.2">
      <c r="B122" s="936" t="s">
        <v>80</v>
      </c>
      <c r="C122" s="937"/>
      <c r="D122" s="937"/>
      <c r="E122" s="937"/>
      <c r="F122" s="937"/>
      <c r="H122" s="106">
        <f>MATRIZ!I116</f>
        <v>502.48</v>
      </c>
      <c r="I122" s="16">
        <f>MATRIZ!$I$102</f>
        <v>32.29</v>
      </c>
      <c r="J122" s="107">
        <f t="shared" si="86"/>
        <v>534.77</v>
      </c>
      <c r="K122" s="107">
        <f t="shared" si="87"/>
        <v>10.69</v>
      </c>
      <c r="L122" s="107">
        <f t="shared" si="93"/>
        <v>106.95</v>
      </c>
      <c r="M122" s="107">
        <f t="shared" si="94"/>
        <v>26.73</v>
      </c>
      <c r="N122" s="107">
        <f t="shared" si="90"/>
        <v>26.73</v>
      </c>
      <c r="O122" s="107">
        <f t="shared" si="95"/>
        <v>32.08</v>
      </c>
      <c r="P122" s="107">
        <f t="shared" si="96"/>
        <v>16.04</v>
      </c>
      <c r="Q122" s="107" t="s">
        <v>22</v>
      </c>
      <c r="R122" s="107">
        <f>MATRIZ!$I$382</f>
        <v>2.87</v>
      </c>
      <c r="S122" s="318">
        <f t="shared" si="97"/>
        <v>756.86000000000013</v>
      </c>
    </row>
    <row r="123" spans="2:19" ht="27.75" customHeight="1" x14ac:dyDescent="0.2">
      <c r="B123" s="920" t="s">
        <v>81</v>
      </c>
      <c r="C123" s="921"/>
      <c r="D123" s="921"/>
      <c r="E123" s="921"/>
      <c r="F123" s="921"/>
      <c r="H123" s="106">
        <f>MATRIZ!I117</f>
        <v>46.44</v>
      </c>
      <c r="I123" s="134" t="s">
        <v>22</v>
      </c>
      <c r="J123" s="107">
        <f t="shared" si="86"/>
        <v>46.44</v>
      </c>
      <c r="K123" s="107">
        <f t="shared" si="87"/>
        <v>0.92</v>
      </c>
      <c r="L123" s="107">
        <f t="shared" si="93"/>
        <v>9.2799999999999994</v>
      </c>
      <c r="M123" s="107">
        <f t="shared" si="94"/>
        <v>2.3199999999999998</v>
      </c>
      <c r="N123" s="107">
        <f t="shared" si="90"/>
        <v>2.3199999999999998</v>
      </c>
      <c r="O123" s="107">
        <f t="shared" si="95"/>
        <v>2.78</v>
      </c>
      <c r="P123" s="107">
        <f t="shared" si="96"/>
        <v>1.39</v>
      </c>
      <c r="Q123" s="107" t="s">
        <v>22</v>
      </c>
      <c r="R123" s="107">
        <f>MATRIZ!$I$382</f>
        <v>2.87</v>
      </c>
      <c r="S123" s="318">
        <f t="shared" si="97"/>
        <v>68.320000000000007</v>
      </c>
    </row>
    <row r="124" spans="2:19" ht="21.75" customHeight="1" x14ac:dyDescent="0.2">
      <c r="B124" s="920" t="s">
        <v>261</v>
      </c>
      <c r="C124" s="921"/>
      <c r="D124" s="921"/>
      <c r="E124" s="921"/>
      <c r="F124" s="921"/>
      <c r="H124" s="106">
        <f>MATRIZ!I118</f>
        <v>46.44</v>
      </c>
      <c r="I124" s="134" t="s">
        <v>22</v>
      </c>
      <c r="J124" s="107">
        <f t="shared" si="86"/>
        <v>46.44</v>
      </c>
      <c r="K124" s="107">
        <f t="shared" si="87"/>
        <v>0.92</v>
      </c>
      <c r="L124" s="107">
        <f t="shared" si="93"/>
        <v>9.2799999999999994</v>
      </c>
      <c r="M124" s="107">
        <f t="shared" si="94"/>
        <v>2.3199999999999998</v>
      </c>
      <c r="N124" s="107">
        <f t="shared" si="90"/>
        <v>2.3199999999999998</v>
      </c>
      <c r="O124" s="107">
        <f t="shared" si="95"/>
        <v>2.78</v>
      </c>
      <c r="P124" s="107">
        <f t="shared" si="96"/>
        <v>1.39</v>
      </c>
      <c r="Q124" s="107" t="s">
        <v>22</v>
      </c>
      <c r="R124" s="107">
        <f>MATRIZ!$I$382</f>
        <v>2.87</v>
      </c>
      <c r="S124" s="318">
        <f t="shared" si="97"/>
        <v>68.320000000000007</v>
      </c>
    </row>
    <row r="125" spans="2:19" ht="14.25" x14ac:dyDescent="0.2">
      <c r="B125" s="932" t="s">
        <v>82</v>
      </c>
      <c r="C125" s="933"/>
      <c r="D125" s="933"/>
      <c r="E125" s="933"/>
      <c r="F125" s="933"/>
      <c r="H125" s="106">
        <f>MATRIZ!I119</f>
        <v>149.4</v>
      </c>
      <c r="I125" s="16">
        <f>MATRIZ!$I$102</f>
        <v>32.29</v>
      </c>
      <c r="J125" s="107">
        <f t="shared" si="86"/>
        <v>181.69</v>
      </c>
      <c r="K125" s="107">
        <f t="shared" si="87"/>
        <v>3.63</v>
      </c>
      <c r="L125" s="107">
        <f t="shared" si="93"/>
        <v>36.33</v>
      </c>
      <c r="M125" s="107">
        <f t="shared" si="94"/>
        <v>9.08</v>
      </c>
      <c r="N125" s="107">
        <f t="shared" si="90"/>
        <v>9.08</v>
      </c>
      <c r="O125" s="107">
        <f t="shared" si="95"/>
        <v>10.9</v>
      </c>
      <c r="P125" s="107">
        <f t="shared" si="96"/>
        <v>5.45</v>
      </c>
      <c r="Q125" s="107" t="s">
        <v>22</v>
      </c>
      <c r="R125" s="107">
        <f>MATRIZ!$I$382</f>
        <v>2.87</v>
      </c>
      <c r="S125" s="318">
        <f t="shared" si="97"/>
        <v>259.03000000000003</v>
      </c>
    </row>
    <row r="126" spans="2:19" ht="14.25" x14ac:dyDescent="0.2">
      <c r="B126" s="932" t="s">
        <v>83</v>
      </c>
      <c r="C126" s="933"/>
      <c r="D126" s="933"/>
      <c r="E126" s="933"/>
      <c r="F126" s="933"/>
      <c r="H126" s="106">
        <f>MATRIZ!I120</f>
        <v>149.4</v>
      </c>
      <c r="I126" s="16">
        <f>MATRIZ!$I$102</f>
        <v>32.29</v>
      </c>
      <c r="J126" s="107">
        <f t="shared" si="86"/>
        <v>181.69</v>
      </c>
      <c r="K126" s="107">
        <f t="shared" si="87"/>
        <v>3.63</v>
      </c>
      <c r="L126" s="107">
        <f t="shared" si="93"/>
        <v>36.33</v>
      </c>
      <c r="M126" s="107">
        <f t="shared" si="94"/>
        <v>9.08</v>
      </c>
      <c r="N126" s="107">
        <f t="shared" si="90"/>
        <v>9.08</v>
      </c>
      <c r="O126" s="107">
        <f t="shared" si="95"/>
        <v>10.9</v>
      </c>
      <c r="P126" s="107">
        <f t="shared" si="96"/>
        <v>5.45</v>
      </c>
      <c r="Q126" s="107" t="s">
        <v>22</v>
      </c>
      <c r="R126" s="107">
        <f>MATRIZ!$I$382</f>
        <v>2.87</v>
      </c>
      <c r="S126" s="318">
        <f t="shared" si="97"/>
        <v>259.03000000000003</v>
      </c>
    </row>
    <row r="127" spans="2:19" ht="35.25" customHeight="1" x14ac:dyDescent="0.2">
      <c r="B127" s="920" t="s">
        <v>84</v>
      </c>
      <c r="C127" s="921"/>
      <c r="D127" s="921"/>
      <c r="E127" s="921"/>
      <c r="F127" s="921"/>
      <c r="G127" s="922"/>
      <c r="H127" s="106">
        <f>MATRIZ!I121</f>
        <v>46.44</v>
      </c>
      <c r="I127" s="16">
        <f>MATRIZ!$I$102</f>
        <v>32.29</v>
      </c>
      <c r="J127" s="107">
        <f t="shared" si="86"/>
        <v>78.72999999999999</v>
      </c>
      <c r="K127" s="107">
        <f t="shared" si="87"/>
        <v>1.57</v>
      </c>
      <c r="L127" s="107">
        <f t="shared" si="93"/>
        <v>15.74</v>
      </c>
      <c r="M127" s="107">
        <f t="shared" si="94"/>
        <v>3.93</v>
      </c>
      <c r="N127" s="107">
        <f t="shared" si="90"/>
        <v>3.93</v>
      </c>
      <c r="O127" s="107">
        <f t="shared" si="95"/>
        <v>4.72</v>
      </c>
      <c r="P127" s="107">
        <f t="shared" si="96"/>
        <v>2.36</v>
      </c>
      <c r="Q127" s="107" t="s">
        <v>22</v>
      </c>
      <c r="R127" s="107">
        <f>MATRIZ!$I$382</f>
        <v>2.87</v>
      </c>
      <c r="S127" s="318">
        <f t="shared" si="97"/>
        <v>113.85</v>
      </c>
    </row>
    <row r="128" spans="2:19" ht="14.25" x14ac:dyDescent="0.2">
      <c r="B128" s="932" t="s">
        <v>85</v>
      </c>
      <c r="C128" s="933"/>
      <c r="D128" s="933"/>
      <c r="E128" s="933"/>
      <c r="F128" s="933"/>
      <c r="H128" s="106">
        <f>MATRIZ!I122</f>
        <v>4.28</v>
      </c>
      <c r="I128" s="134" t="s">
        <v>22</v>
      </c>
      <c r="J128" s="107">
        <f t="shared" si="86"/>
        <v>4.28</v>
      </c>
      <c r="K128" s="107">
        <f t="shared" si="87"/>
        <v>0.08</v>
      </c>
      <c r="L128" s="107">
        <f t="shared" si="93"/>
        <v>0.85</v>
      </c>
      <c r="M128" s="107">
        <f t="shared" si="94"/>
        <v>0.21</v>
      </c>
      <c r="N128" s="107">
        <f t="shared" si="90"/>
        <v>0.21</v>
      </c>
      <c r="O128" s="107">
        <f t="shared" si="95"/>
        <v>0.25</v>
      </c>
      <c r="P128" s="107">
        <f t="shared" si="96"/>
        <v>0.12</v>
      </c>
      <c r="Q128" s="107" t="s">
        <v>22</v>
      </c>
      <c r="R128" s="107">
        <f>MATRIZ!$I$382</f>
        <v>2.87</v>
      </c>
      <c r="S128" s="318">
        <f t="shared" si="97"/>
        <v>8.870000000000001</v>
      </c>
    </row>
    <row r="129" spans="2:19" ht="18" customHeight="1" x14ac:dyDescent="0.2">
      <c r="B129" s="920" t="s">
        <v>86</v>
      </c>
      <c r="C129" s="921"/>
      <c r="D129" s="921"/>
      <c r="E129" s="921"/>
      <c r="F129" s="921"/>
      <c r="H129" s="106">
        <f>MATRIZ!I123</f>
        <v>26.03</v>
      </c>
      <c r="I129" s="134" t="s">
        <v>22</v>
      </c>
      <c r="J129" s="107">
        <f t="shared" si="86"/>
        <v>26.03</v>
      </c>
      <c r="K129" s="107">
        <f t="shared" si="87"/>
        <v>0.52</v>
      </c>
      <c r="L129" s="107">
        <f t="shared" si="93"/>
        <v>5.2</v>
      </c>
      <c r="M129" s="107">
        <f t="shared" si="94"/>
        <v>1.3</v>
      </c>
      <c r="N129" s="107">
        <f t="shared" si="90"/>
        <v>1.3</v>
      </c>
      <c r="O129" s="107">
        <f t="shared" si="95"/>
        <v>1.56</v>
      </c>
      <c r="P129" s="107">
        <f t="shared" si="96"/>
        <v>0.78</v>
      </c>
      <c r="Q129" s="107" t="s">
        <v>22</v>
      </c>
      <c r="R129" s="107">
        <f>MATRIZ!$I$382</f>
        <v>2.87</v>
      </c>
      <c r="S129" s="318">
        <f t="shared" si="97"/>
        <v>39.559999999999995</v>
      </c>
    </row>
    <row r="130" spans="2:19" ht="33" customHeight="1" x14ac:dyDescent="0.2">
      <c r="B130" s="920" t="s">
        <v>87</v>
      </c>
      <c r="C130" s="921"/>
      <c r="D130" s="921"/>
      <c r="E130" s="921"/>
      <c r="F130" s="921"/>
      <c r="G130" s="922"/>
      <c r="H130" s="106">
        <f>MATRIZ!I124</f>
        <v>99.54</v>
      </c>
      <c r="I130" s="134" t="s">
        <v>22</v>
      </c>
      <c r="J130" s="107">
        <f t="shared" si="86"/>
        <v>99.54</v>
      </c>
      <c r="K130" s="107">
        <f t="shared" si="87"/>
        <v>1.99</v>
      </c>
      <c r="L130" s="107">
        <f t="shared" si="93"/>
        <v>19.899999999999999</v>
      </c>
      <c r="M130" s="107">
        <f t="shared" si="94"/>
        <v>4.97</v>
      </c>
      <c r="N130" s="107">
        <f t="shared" si="90"/>
        <v>4.97</v>
      </c>
      <c r="O130" s="107">
        <f t="shared" si="95"/>
        <v>5.97</v>
      </c>
      <c r="P130" s="107">
        <f t="shared" si="96"/>
        <v>2.98</v>
      </c>
      <c r="Q130" s="107" t="s">
        <v>22</v>
      </c>
      <c r="R130" s="107">
        <f>MATRIZ!$I$382</f>
        <v>2.87</v>
      </c>
      <c r="S130" s="318">
        <f t="shared" si="97"/>
        <v>143.19</v>
      </c>
    </row>
    <row r="131" spans="2:19" ht="22.5" customHeight="1" x14ac:dyDescent="0.2">
      <c r="B131" s="952" t="s">
        <v>88</v>
      </c>
      <c r="C131" s="953"/>
      <c r="D131" s="953"/>
      <c r="E131" s="953"/>
      <c r="F131" s="953"/>
      <c r="H131" s="245" t="s">
        <v>424</v>
      </c>
      <c r="I131" s="114"/>
      <c r="J131" s="107"/>
      <c r="K131" s="107"/>
      <c r="L131" s="107"/>
      <c r="M131" s="107"/>
      <c r="N131" s="107"/>
      <c r="O131" s="107"/>
      <c r="P131" s="107"/>
      <c r="Q131" s="107"/>
      <c r="R131" s="107"/>
      <c r="S131" s="318"/>
    </row>
    <row r="132" spans="2:19" ht="16.5" customHeight="1" x14ac:dyDescent="0.2">
      <c r="B132" s="920" t="s">
        <v>89</v>
      </c>
      <c r="C132" s="921"/>
      <c r="D132" s="921"/>
      <c r="E132" s="921"/>
      <c r="F132" s="921"/>
      <c r="H132" s="106">
        <f>MATRIZ!I126</f>
        <v>253.71</v>
      </c>
      <c r="I132" s="16">
        <f>MATRIZ!$I$102</f>
        <v>32.29</v>
      </c>
      <c r="J132" s="107">
        <f t="shared" si="86"/>
        <v>286</v>
      </c>
      <c r="K132" s="107">
        <f t="shared" si="87"/>
        <v>5.72</v>
      </c>
      <c r="L132" s="107">
        <f t="shared" si="93"/>
        <v>57.2</v>
      </c>
      <c r="M132" s="107">
        <f t="shared" si="94"/>
        <v>14.3</v>
      </c>
      <c r="N132" s="107">
        <f t="shared" si="90"/>
        <v>14.3</v>
      </c>
      <c r="O132" s="107">
        <f t="shared" si="95"/>
        <v>17.16</v>
      </c>
      <c r="P132" s="107">
        <f t="shared" si="96"/>
        <v>8.58</v>
      </c>
      <c r="Q132" s="107" t="s">
        <v>22</v>
      </c>
      <c r="R132" s="107">
        <f>MATRIZ!$I$382</f>
        <v>2.87</v>
      </c>
      <c r="S132" s="318">
        <f t="shared" si="97"/>
        <v>406.13000000000005</v>
      </c>
    </row>
    <row r="133" spans="2:19" ht="16.5" customHeight="1" x14ac:dyDescent="0.2">
      <c r="B133" s="920" t="s">
        <v>90</v>
      </c>
      <c r="C133" s="921"/>
      <c r="D133" s="921"/>
      <c r="E133" s="921"/>
      <c r="F133" s="921"/>
      <c r="H133" s="106">
        <f>MATRIZ!I127</f>
        <v>46.44</v>
      </c>
      <c r="I133" s="16">
        <f>MATRIZ!$I$102</f>
        <v>32.29</v>
      </c>
      <c r="J133" s="107">
        <f t="shared" si="86"/>
        <v>78.72999999999999</v>
      </c>
      <c r="K133" s="107">
        <f t="shared" si="87"/>
        <v>1.57</v>
      </c>
      <c r="L133" s="107">
        <f t="shared" si="93"/>
        <v>15.74</v>
      </c>
      <c r="M133" s="107">
        <f t="shared" si="94"/>
        <v>3.93</v>
      </c>
      <c r="N133" s="107">
        <f t="shared" si="90"/>
        <v>3.93</v>
      </c>
      <c r="O133" s="107">
        <f t="shared" si="95"/>
        <v>4.72</v>
      </c>
      <c r="P133" s="107">
        <f t="shared" si="96"/>
        <v>2.36</v>
      </c>
      <c r="Q133" s="107" t="s">
        <v>22</v>
      </c>
      <c r="R133" s="107">
        <f>MATRIZ!$I$382</f>
        <v>2.87</v>
      </c>
      <c r="S133" s="318">
        <f t="shared" si="97"/>
        <v>113.85</v>
      </c>
    </row>
    <row r="134" spans="2:19" ht="16.5" customHeight="1" x14ac:dyDescent="0.2">
      <c r="B134" s="920" t="s">
        <v>91</v>
      </c>
      <c r="C134" s="921"/>
      <c r="D134" s="921"/>
      <c r="E134" s="921"/>
      <c r="F134" s="921"/>
      <c r="H134" s="106">
        <f>MATRIZ!I128</f>
        <v>46.44</v>
      </c>
      <c r="I134" s="134" t="s">
        <v>22</v>
      </c>
      <c r="J134" s="107">
        <f t="shared" si="86"/>
        <v>46.44</v>
      </c>
      <c r="K134" s="107">
        <f t="shared" si="87"/>
        <v>0.92</v>
      </c>
      <c r="L134" s="107">
        <f t="shared" si="93"/>
        <v>9.2799999999999994</v>
      </c>
      <c r="M134" s="107">
        <f t="shared" si="94"/>
        <v>2.3199999999999998</v>
      </c>
      <c r="N134" s="107">
        <f t="shared" si="90"/>
        <v>2.3199999999999998</v>
      </c>
      <c r="O134" s="107">
        <f t="shared" si="95"/>
        <v>2.78</v>
      </c>
      <c r="P134" s="107">
        <f t="shared" si="96"/>
        <v>1.39</v>
      </c>
      <c r="Q134" s="107" t="s">
        <v>22</v>
      </c>
      <c r="R134" s="107">
        <f>MATRIZ!$I$382</f>
        <v>2.87</v>
      </c>
      <c r="S134" s="318">
        <f t="shared" si="97"/>
        <v>68.320000000000007</v>
      </c>
    </row>
    <row r="135" spans="2:19" ht="16.5" customHeight="1" x14ac:dyDescent="0.2">
      <c r="B135" s="920" t="s">
        <v>92</v>
      </c>
      <c r="C135" s="921"/>
      <c r="D135" s="921"/>
      <c r="E135" s="921"/>
      <c r="F135" s="921"/>
      <c r="H135" s="32" t="s">
        <v>93</v>
      </c>
      <c r="I135" s="134"/>
      <c r="J135" s="107"/>
      <c r="K135" s="107"/>
      <c r="L135" s="107"/>
      <c r="M135" s="107"/>
      <c r="N135" s="107"/>
      <c r="O135" s="107"/>
      <c r="P135" s="107"/>
      <c r="Q135" s="107"/>
      <c r="R135" s="107"/>
      <c r="S135" s="318"/>
    </row>
    <row r="136" spans="2:19" ht="16.5" customHeight="1" x14ac:dyDescent="0.2">
      <c r="B136" s="952" t="s">
        <v>94</v>
      </c>
      <c r="C136" s="953"/>
      <c r="D136" s="953"/>
      <c r="E136" s="953"/>
      <c r="F136" s="953"/>
      <c r="G136" s="970"/>
      <c r="H136" s="245" t="s">
        <v>424</v>
      </c>
      <c r="I136" s="134"/>
      <c r="J136" s="107"/>
      <c r="K136" s="107"/>
      <c r="L136" s="107"/>
      <c r="M136" s="107"/>
      <c r="N136" s="107"/>
      <c r="O136" s="107"/>
      <c r="P136" s="107"/>
      <c r="Q136" s="107"/>
      <c r="R136" s="107"/>
      <c r="S136" s="318"/>
    </row>
    <row r="137" spans="2:19" ht="16.5" customHeight="1" x14ac:dyDescent="0.2">
      <c r="B137" s="920" t="s">
        <v>95</v>
      </c>
      <c r="C137" s="921"/>
      <c r="D137" s="921"/>
      <c r="E137" s="921"/>
      <c r="F137" s="921"/>
      <c r="G137" s="922"/>
      <c r="H137" s="106">
        <f>MATRIZ!I131</f>
        <v>30.22</v>
      </c>
      <c r="I137" s="134" t="s">
        <v>22</v>
      </c>
      <c r="J137" s="107">
        <f t="shared" si="86"/>
        <v>30.22</v>
      </c>
      <c r="K137" s="107">
        <f t="shared" si="87"/>
        <v>0.6</v>
      </c>
      <c r="L137" s="107">
        <f t="shared" si="93"/>
        <v>6.04</v>
      </c>
      <c r="M137" s="107">
        <f t="shared" si="94"/>
        <v>1.51</v>
      </c>
      <c r="N137" s="107">
        <f t="shared" si="90"/>
        <v>1.51</v>
      </c>
      <c r="O137" s="107">
        <f t="shared" si="95"/>
        <v>1.81</v>
      </c>
      <c r="P137" s="107">
        <f t="shared" si="96"/>
        <v>0.9</v>
      </c>
      <c r="Q137" s="107" t="s">
        <v>22</v>
      </c>
      <c r="R137" s="107">
        <f>MATRIZ!$I$382</f>
        <v>2.87</v>
      </c>
      <c r="S137" s="318">
        <f t="shared" si="97"/>
        <v>45.459999999999994</v>
      </c>
    </row>
    <row r="138" spans="2:19" ht="16.5" customHeight="1" x14ac:dyDescent="0.2">
      <c r="B138" s="920" t="s">
        <v>457</v>
      </c>
      <c r="C138" s="921"/>
      <c r="D138" s="921"/>
      <c r="E138" s="921"/>
      <c r="F138" s="921"/>
      <c r="H138" s="106">
        <f>MATRIZ!I132</f>
        <v>30.22</v>
      </c>
      <c r="I138" s="134" t="s">
        <v>22</v>
      </c>
      <c r="J138" s="107">
        <f t="shared" si="86"/>
        <v>30.22</v>
      </c>
      <c r="K138" s="107">
        <f t="shared" si="87"/>
        <v>0.6</v>
      </c>
      <c r="L138" s="107">
        <f t="shared" si="93"/>
        <v>6.04</v>
      </c>
      <c r="M138" s="107">
        <f t="shared" si="94"/>
        <v>1.51</v>
      </c>
      <c r="N138" s="107">
        <f t="shared" si="90"/>
        <v>1.51</v>
      </c>
      <c r="O138" s="107">
        <f t="shared" si="95"/>
        <v>1.81</v>
      </c>
      <c r="P138" s="107">
        <f t="shared" si="96"/>
        <v>0.9</v>
      </c>
      <c r="Q138" s="107" t="s">
        <v>22</v>
      </c>
      <c r="R138" s="107">
        <f>MATRIZ!$I$382</f>
        <v>2.87</v>
      </c>
      <c r="S138" s="318">
        <f t="shared" si="97"/>
        <v>45.459999999999994</v>
      </c>
    </row>
    <row r="139" spans="2:19" ht="17.25" customHeight="1" x14ac:dyDescent="0.2">
      <c r="B139" s="920" t="s">
        <v>96</v>
      </c>
      <c r="C139" s="921"/>
      <c r="D139" s="921"/>
      <c r="E139" s="921"/>
      <c r="F139" s="921"/>
      <c r="G139" s="922"/>
      <c r="H139" s="106">
        <f>MATRIZ!I133</f>
        <v>30.22</v>
      </c>
      <c r="I139" s="134" t="s">
        <v>22</v>
      </c>
      <c r="J139" s="107">
        <f t="shared" si="86"/>
        <v>30.22</v>
      </c>
      <c r="K139" s="107">
        <f t="shared" si="87"/>
        <v>0.6</v>
      </c>
      <c r="L139" s="107">
        <f t="shared" si="93"/>
        <v>6.04</v>
      </c>
      <c r="M139" s="107">
        <f t="shared" si="94"/>
        <v>1.51</v>
      </c>
      <c r="N139" s="107">
        <f t="shared" si="90"/>
        <v>1.51</v>
      </c>
      <c r="O139" s="107">
        <f t="shared" si="95"/>
        <v>1.81</v>
      </c>
      <c r="P139" s="107">
        <f t="shared" si="96"/>
        <v>0.9</v>
      </c>
      <c r="Q139" s="107" t="s">
        <v>22</v>
      </c>
      <c r="R139" s="107">
        <f>MATRIZ!$I$382</f>
        <v>2.87</v>
      </c>
      <c r="S139" s="318">
        <f t="shared" si="97"/>
        <v>45.459999999999994</v>
      </c>
    </row>
    <row r="140" spans="2:19" ht="12.75" customHeight="1" x14ac:dyDescent="0.2">
      <c r="B140" s="920" t="s">
        <v>97</v>
      </c>
      <c r="C140" s="921"/>
      <c r="D140" s="921"/>
      <c r="E140" s="921"/>
      <c r="F140" s="921"/>
      <c r="G140" s="922"/>
      <c r="H140" s="106" t="str">
        <f>MATRIZ!I134</f>
        <v>Gratuito</v>
      </c>
      <c r="I140" s="356" t="s">
        <v>22</v>
      </c>
      <c r="J140" s="356" t="s">
        <v>22</v>
      </c>
      <c r="K140" s="356" t="s">
        <v>22</v>
      </c>
      <c r="L140" s="356" t="s">
        <v>22</v>
      </c>
      <c r="M140" s="356" t="s">
        <v>22</v>
      </c>
      <c r="N140" s="356" t="s">
        <v>22</v>
      </c>
      <c r="O140" s="356" t="s">
        <v>22</v>
      </c>
      <c r="P140" s="356" t="s">
        <v>22</v>
      </c>
      <c r="Q140" s="356" t="s">
        <v>22</v>
      </c>
      <c r="R140" s="356" t="s">
        <v>22</v>
      </c>
      <c r="S140" s="476" t="s">
        <v>22</v>
      </c>
    </row>
    <row r="141" spans="2:19" ht="16.5" customHeight="1" x14ac:dyDescent="0.2">
      <c r="B141" s="955" t="s">
        <v>98</v>
      </c>
      <c r="C141" s="956"/>
      <c r="D141" s="956"/>
      <c r="E141" s="956"/>
      <c r="F141" s="956"/>
      <c r="G141" s="957"/>
      <c r="H141" s="106" t="str">
        <f>MATRIZ!I135</f>
        <v>Gratuito</v>
      </c>
      <c r="I141" s="357" t="s">
        <v>22</v>
      </c>
      <c r="J141" s="357" t="s">
        <v>22</v>
      </c>
      <c r="K141" s="357" t="s">
        <v>22</v>
      </c>
      <c r="L141" s="357" t="s">
        <v>22</v>
      </c>
      <c r="M141" s="357" t="s">
        <v>22</v>
      </c>
      <c r="N141" s="357" t="s">
        <v>22</v>
      </c>
      <c r="O141" s="357" t="s">
        <v>22</v>
      </c>
      <c r="P141" s="357" t="s">
        <v>22</v>
      </c>
      <c r="Q141" s="357" t="s">
        <v>22</v>
      </c>
      <c r="R141" s="357" t="s">
        <v>22</v>
      </c>
      <c r="S141" s="477" t="s">
        <v>22</v>
      </c>
    </row>
    <row r="142" spans="2:19" ht="6.75" customHeight="1" thickBot="1" x14ac:dyDescent="0.25">
      <c r="B142" s="287"/>
      <c r="Q142" s="15"/>
      <c r="S142" s="300"/>
    </row>
    <row r="143" spans="2:19" ht="22.5" customHeight="1" thickBot="1" x14ac:dyDescent="0.25">
      <c r="B143" s="929" t="s">
        <v>262</v>
      </c>
      <c r="C143" s="930"/>
      <c r="D143" s="930"/>
      <c r="E143" s="930"/>
      <c r="F143" s="931"/>
      <c r="G143" s="463" t="s">
        <v>458</v>
      </c>
      <c r="H143" s="315"/>
      <c r="I143" s="301">
        <f>S109</f>
        <v>48.36</v>
      </c>
      <c r="J143" s="961" t="s">
        <v>459</v>
      </c>
      <c r="K143" s="961"/>
      <c r="L143" s="961"/>
      <c r="M143" s="34">
        <f>S106</f>
        <v>274.58999999999992</v>
      </c>
      <c r="N143" s="35" t="s">
        <v>99</v>
      </c>
      <c r="O143" s="36">
        <f>I143+M143</f>
        <v>322.94999999999993</v>
      </c>
      <c r="P143" s="302" t="s">
        <v>100</v>
      </c>
      <c r="Q143" s="303"/>
      <c r="R143" s="303"/>
      <c r="S143" s="304"/>
    </row>
    <row r="144" spans="2:19" ht="11.25" customHeight="1" x14ac:dyDescent="0.2">
      <c r="B144" s="37"/>
      <c r="C144" s="37"/>
      <c r="D144" s="37"/>
      <c r="E144" s="37"/>
      <c r="F144" s="31"/>
      <c r="G144" s="31"/>
      <c r="H144" s="31"/>
      <c r="I144" s="8"/>
      <c r="J144" s="16"/>
      <c r="K144" s="16"/>
      <c r="L144" s="38"/>
      <c r="M144" s="38"/>
      <c r="N144" s="38"/>
      <c r="O144" s="39"/>
      <c r="P144" s="40"/>
      <c r="Q144" s="41"/>
      <c r="R144" s="41"/>
      <c r="S144" s="42"/>
    </row>
    <row r="145" spans="2:19" ht="3.75" customHeight="1" x14ac:dyDescent="0.2">
      <c r="B145" s="37"/>
      <c r="C145" s="37"/>
      <c r="D145" s="37"/>
      <c r="E145" s="37"/>
      <c r="F145" s="31"/>
      <c r="G145" s="31"/>
      <c r="H145" s="31"/>
      <c r="I145" s="8"/>
      <c r="J145" s="16"/>
      <c r="K145" s="16"/>
      <c r="L145" s="38"/>
      <c r="M145" s="38"/>
      <c r="N145" s="38"/>
      <c r="O145" s="39"/>
      <c r="P145" s="40"/>
      <c r="Q145" s="41"/>
      <c r="R145" s="41"/>
      <c r="S145" s="42"/>
    </row>
    <row r="146" spans="2:19" ht="19.5" customHeight="1" x14ac:dyDescent="0.25">
      <c r="B146" s="37"/>
      <c r="C146" s="954" t="s">
        <v>102</v>
      </c>
      <c r="D146" s="954"/>
      <c r="E146" s="954"/>
      <c r="F146" s="954"/>
      <c r="G146" s="954"/>
      <c r="H146" s="954"/>
      <c r="I146" s="954"/>
      <c r="J146" s="954"/>
      <c r="K146" s="954"/>
      <c r="L146" s="954"/>
      <c r="M146" s="38"/>
      <c r="O146" s="38"/>
      <c r="P146" s="40"/>
      <c r="Q146" s="38"/>
      <c r="R146" s="38"/>
      <c r="S146" s="42"/>
    </row>
    <row r="147" spans="2:19" ht="5.25" customHeight="1" x14ac:dyDescent="0.2">
      <c r="N147" s="283"/>
      <c r="S147" s="7"/>
    </row>
    <row r="148" spans="2:19" ht="12.75" x14ac:dyDescent="0.2">
      <c r="B148" s="124" t="s">
        <v>464</v>
      </c>
      <c r="C148" s="125"/>
      <c r="D148" s="125"/>
      <c r="E148" s="125"/>
      <c r="F148" s="125"/>
      <c r="G148" s="125"/>
      <c r="H148" s="125"/>
      <c r="I148" s="125"/>
      <c r="J148" s="125"/>
      <c r="K148" s="125"/>
      <c r="L148" s="125"/>
      <c r="M148" s="125"/>
      <c r="N148" s="127"/>
      <c r="O148" s="125"/>
      <c r="P148" s="125"/>
      <c r="Q148" s="125"/>
      <c r="R148" s="125"/>
      <c r="S148" s="126"/>
    </row>
    <row r="149" spans="2:19" ht="36" customHeight="1" x14ac:dyDescent="0.2">
      <c r="B149" s="962" t="s">
        <v>454</v>
      </c>
      <c r="C149" s="963"/>
      <c r="D149" s="963"/>
      <c r="E149" s="963"/>
      <c r="F149" s="963"/>
      <c r="G149" s="963"/>
      <c r="H149" s="963"/>
      <c r="I149" s="963"/>
      <c r="J149" s="963"/>
      <c r="K149" s="963"/>
      <c r="L149" s="963"/>
      <c r="M149" s="963"/>
      <c r="N149" s="963"/>
      <c r="O149" s="963"/>
      <c r="P149" s="963"/>
      <c r="Q149" s="963"/>
      <c r="R149" s="963"/>
      <c r="S149" s="964"/>
    </row>
    <row r="150" spans="2:19" ht="12.75" x14ac:dyDescent="0.2">
      <c r="B150" s="44" t="s">
        <v>455</v>
      </c>
      <c r="C150" s="45"/>
      <c r="D150" s="45"/>
      <c r="E150" s="45"/>
      <c r="F150" s="45"/>
      <c r="G150" s="46"/>
      <c r="H150" s="46"/>
      <c r="I150" s="46"/>
      <c r="J150" s="46"/>
      <c r="K150" s="46"/>
      <c r="L150" s="46"/>
      <c r="M150" s="45"/>
      <c r="N150" s="128"/>
      <c r="O150" s="45"/>
      <c r="P150" s="45"/>
      <c r="Q150" s="45"/>
      <c r="R150" s="45"/>
      <c r="S150" s="305"/>
    </row>
    <row r="151" spans="2:19" ht="34.5" customHeight="1" x14ac:dyDescent="0.2">
      <c r="B151" s="965" t="s">
        <v>463</v>
      </c>
      <c r="C151" s="966"/>
      <c r="D151" s="966"/>
      <c r="E151" s="966"/>
      <c r="F151" s="966"/>
      <c r="G151" s="966"/>
      <c r="H151" s="966"/>
      <c r="I151" s="966"/>
      <c r="J151" s="966"/>
      <c r="K151" s="966"/>
      <c r="L151" s="966"/>
      <c r="M151" s="966"/>
      <c r="N151" s="966"/>
      <c r="O151" s="966"/>
      <c r="P151" s="966"/>
      <c r="Q151" s="966"/>
      <c r="R151" s="966"/>
      <c r="S151" s="967"/>
    </row>
    <row r="152" spans="2:19" x14ac:dyDescent="0.2">
      <c r="B152" s="129" t="s">
        <v>103</v>
      </c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46"/>
      <c r="O152" s="130"/>
      <c r="P152" s="130"/>
      <c r="Q152" s="130"/>
      <c r="R152" s="130"/>
      <c r="S152" s="131"/>
    </row>
    <row r="153" spans="2:19" x14ac:dyDescent="0.2">
      <c r="B153" s="47" t="s">
        <v>104</v>
      </c>
      <c r="C153" s="46"/>
      <c r="D153" s="46"/>
      <c r="E153" s="48">
        <f>MATRIZ!I381</f>
        <v>32.57</v>
      </c>
      <c r="F153" s="46"/>
      <c r="G153" s="46"/>
      <c r="H153" s="46"/>
      <c r="I153" s="46"/>
      <c r="J153" s="46"/>
      <c r="K153" s="46"/>
      <c r="L153" s="46"/>
      <c r="M153" s="46"/>
      <c r="N153" s="306"/>
      <c r="O153" s="46"/>
      <c r="P153" s="46"/>
      <c r="Q153" s="46"/>
      <c r="R153" s="46"/>
      <c r="S153" s="307"/>
    </row>
    <row r="155" spans="2:19" ht="15" customHeight="1" x14ac:dyDescent="0.2">
      <c r="B155" s="943" t="s">
        <v>472</v>
      </c>
      <c r="C155" s="944"/>
      <c r="D155" s="944"/>
      <c r="E155" s="944"/>
      <c r="F155" s="944"/>
      <c r="G155" s="944"/>
      <c r="H155" s="944"/>
      <c r="I155" s="344" t="s">
        <v>473</v>
      </c>
      <c r="J155" s="344" t="s">
        <v>101</v>
      </c>
      <c r="K155" s="945" t="s">
        <v>3</v>
      </c>
      <c r="L155" s="346">
        <v>0.02</v>
      </c>
      <c r="M155" s="346">
        <v>0.2</v>
      </c>
      <c r="N155" s="345">
        <v>0.05</v>
      </c>
      <c r="O155" s="345">
        <v>0.05</v>
      </c>
      <c r="P155" s="345">
        <v>0.06</v>
      </c>
      <c r="Q155" s="946" t="s">
        <v>5</v>
      </c>
      <c r="R155" s="946" t="s">
        <v>6</v>
      </c>
      <c r="S155" s="948" t="s">
        <v>7</v>
      </c>
    </row>
    <row r="156" spans="2:19" ht="15" customHeight="1" x14ac:dyDescent="0.2">
      <c r="B156" s="950" t="s">
        <v>474</v>
      </c>
      <c r="C156" s="951"/>
      <c r="D156" s="951"/>
      <c r="E156" s="951"/>
      <c r="F156" s="951"/>
      <c r="G156" s="951"/>
      <c r="H156" s="951"/>
      <c r="I156" s="347" t="s">
        <v>475</v>
      </c>
      <c r="J156" s="347" t="s">
        <v>477</v>
      </c>
      <c r="K156" s="945"/>
      <c r="L156" s="349" t="s">
        <v>40</v>
      </c>
      <c r="M156" s="349" t="s">
        <v>41</v>
      </c>
      <c r="N156" s="348" t="s">
        <v>42</v>
      </c>
      <c r="O156" s="348" t="s">
        <v>43</v>
      </c>
      <c r="P156" s="348" t="s">
        <v>44</v>
      </c>
      <c r="Q156" s="947"/>
      <c r="R156" s="947"/>
      <c r="S156" s="949"/>
    </row>
    <row r="157" spans="2:19" ht="36.75" customHeight="1" x14ac:dyDescent="0.2">
      <c r="B157" s="958" t="s">
        <v>479</v>
      </c>
      <c r="C157" s="959"/>
      <c r="D157" s="959"/>
      <c r="E157" s="959"/>
      <c r="F157" s="959"/>
      <c r="G157" s="959"/>
      <c r="H157" s="959"/>
      <c r="I157" s="350">
        <f>MATRIZ!I5</f>
        <v>30.22</v>
      </c>
      <c r="J157" s="245" t="s">
        <v>424</v>
      </c>
      <c r="K157" s="350">
        <f>SUM(H157:J157)</f>
        <v>30.22</v>
      </c>
      <c r="L157" s="245" t="s">
        <v>424</v>
      </c>
      <c r="M157" s="351">
        <f>TRUNC(K157*20%,2)</f>
        <v>6.04</v>
      </c>
      <c r="N157" s="351">
        <f>TRUNC(K157*5%,2)</f>
        <v>1.51</v>
      </c>
      <c r="O157" s="351">
        <f>N157</f>
        <v>1.51</v>
      </c>
      <c r="P157" s="351">
        <f>TRUNC(K157*6%,2)</f>
        <v>1.81</v>
      </c>
      <c r="Q157" s="351">
        <f>TRUNC(K157*3%,2)</f>
        <v>0.9</v>
      </c>
      <c r="R157" s="245" t="s">
        <v>424</v>
      </c>
      <c r="S157" s="352">
        <f>SUM(K157:Q157)</f>
        <v>41.989999999999995</v>
      </c>
    </row>
    <row r="158" spans="2:19" ht="36" customHeight="1" x14ac:dyDescent="0.2">
      <c r="B158" s="958" t="s">
        <v>482</v>
      </c>
      <c r="C158" s="959"/>
      <c r="D158" s="959"/>
      <c r="E158" s="959"/>
      <c r="F158" s="959"/>
      <c r="G158" s="959"/>
      <c r="H158" s="960"/>
      <c r="I158" s="245" t="s">
        <v>424</v>
      </c>
      <c r="J158" s="350">
        <f>MATRIZ!I6</f>
        <v>30.22</v>
      </c>
      <c r="K158" s="350">
        <f>SUM(H158:J158)</f>
        <v>30.22</v>
      </c>
      <c r="L158" s="245" t="s">
        <v>424</v>
      </c>
      <c r="M158" s="351">
        <f>TRUNC(K158*20%,2)</f>
        <v>6.04</v>
      </c>
      <c r="N158" s="351">
        <f>TRUNC(K158*5%,2)</f>
        <v>1.51</v>
      </c>
      <c r="O158" s="351">
        <f>N158</f>
        <v>1.51</v>
      </c>
      <c r="P158" s="351">
        <f>TRUNC(K158*6%,2)</f>
        <v>1.81</v>
      </c>
      <c r="Q158" s="351">
        <f>TRUNC(K158*3%,2)</f>
        <v>0.9</v>
      </c>
      <c r="R158" s="17">
        <f>MATRIZ!$I$382</f>
        <v>2.87</v>
      </c>
      <c r="S158" s="352">
        <v>38.68</v>
      </c>
    </row>
  </sheetData>
  <sheetProtection selectLockedCells="1" selectUnlockedCells="1"/>
  <mergeCells count="133">
    <mergeCell ref="B158:H158"/>
    <mergeCell ref="B157:H157"/>
    <mergeCell ref="R155:R156"/>
    <mergeCell ref="J143:L143"/>
    <mergeCell ref="B149:S149"/>
    <mergeCell ref="B151:S151"/>
    <mergeCell ref="K19:L19"/>
    <mergeCell ref="K34:L34"/>
    <mergeCell ref="K49:L49"/>
    <mergeCell ref="K63:L63"/>
    <mergeCell ref="K73:L73"/>
    <mergeCell ref="K87:L87"/>
    <mergeCell ref="K101:L101"/>
    <mergeCell ref="B49:I49"/>
    <mergeCell ref="B63:I63"/>
    <mergeCell ref="B73:J73"/>
    <mergeCell ref="Q21:Q22"/>
    <mergeCell ref="R21:R22"/>
    <mergeCell ref="Q103:Q104"/>
    <mergeCell ref="B139:G139"/>
    <mergeCell ref="B137:G137"/>
    <mergeCell ref="B136:G136"/>
    <mergeCell ref="B111:F111"/>
    <mergeCell ref="B112:F112"/>
    <mergeCell ref="B155:H155"/>
    <mergeCell ref="K155:K156"/>
    <mergeCell ref="Q155:Q156"/>
    <mergeCell ref="S155:S156"/>
    <mergeCell ref="B156:H156"/>
    <mergeCell ref="B131:F131"/>
    <mergeCell ref="B132:F132"/>
    <mergeCell ref="B133:F133"/>
    <mergeCell ref="B126:F126"/>
    <mergeCell ref="B128:F128"/>
    <mergeCell ref="B129:F129"/>
    <mergeCell ref="B127:G127"/>
    <mergeCell ref="B130:G130"/>
    <mergeCell ref="C146:L146"/>
    <mergeCell ref="B134:F134"/>
    <mergeCell ref="B135:F135"/>
    <mergeCell ref="B138:F138"/>
    <mergeCell ref="B141:G141"/>
    <mergeCell ref="B140:G140"/>
    <mergeCell ref="B110:G110"/>
    <mergeCell ref="B109:G109"/>
    <mergeCell ref="B106:G106"/>
    <mergeCell ref="B107:G107"/>
    <mergeCell ref="B108:G108"/>
    <mergeCell ref="B105:G105"/>
    <mergeCell ref="B123:F123"/>
    <mergeCell ref="B124:F124"/>
    <mergeCell ref="B143:F143"/>
    <mergeCell ref="B125:F125"/>
    <mergeCell ref="B118:F118"/>
    <mergeCell ref="B119:F119"/>
    <mergeCell ref="B120:F120"/>
    <mergeCell ref="B121:F121"/>
    <mergeCell ref="B113:F113"/>
    <mergeCell ref="B114:F114"/>
    <mergeCell ref="B116:F116"/>
    <mergeCell ref="B117:F117"/>
    <mergeCell ref="B122:F122"/>
    <mergeCell ref="B115:G115"/>
    <mergeCell ref="H51:H52"/>
    <mergeCell ref="H65:H66"/>
    <mergeCell ref="S103:S104"/>
    <mergeCell ref="B104:G104"/>
    <mergeCell ref="B76:G76"/>
    <mergeCell ref="B89:G89"/>
    <mergeCell ref="J89:J90"/>
    <mergeCell ref="P89:P90"/>
    <mergeCell ref="Q89:Q90"/>
    <mergeCell ref="S89:S90"/>
    <mergeCell ref="B90:G90"/>
    <mergeCell ref="R75:R76"/>
    <mergeCell ref="R89:R90"/>
    <mergeCell ref="R103:R104"/>
    <mergeCell ref="B103:G103"/>
    <mergeCell ref="P103:P104"/>
    <mergeCell ref="B87:J87"/>
    <mergeCell ref="H75:H76"/>
    <mergeCell ref="B101:J101"/>
    <mergeCell ref="H89:H90"/>
    <mergeCell ref="J103:J104"/>
    <mergeCell ref="H103:H104"/>
    <mergeCell ref="B5:F5"/>
    <mergeCell ref="B6:F6"/>
    <mergeCell ref="D8:E8"/>
    <mergeCell ref="S65:S66"/>
    <mergeCell ref="B66:G66"/>
    <mergeCell ref="R51:R52"/>
    <mergeCell ref="R65:R66"/>
    <mergeCell ref="B75:G75"/>
    <mergeCell ref="J75:J76"/>
    <mergeCell ref="P75:P76"/>
    <mergeCell ref="Q75:Q76"/>
    <mergeCell ref="S75:S76"/>
    <mergeCell ref="B65:G65"/>
    <mergeCell ref="J65:J66"/>
    <mergeCell ref="P65:P66"/>
    <mergeCell ref="Q65:Q66"/>
    <mergeCell ref="B51:G51"/>
    <mergeCell ref="J51:J52"/>
    <mergeCell ref="P51:P52"/>
    <mergeCell ref="Q51:Q52"/>
    <mergeCell ref="S51:S52"/>
    <mergeCell ref="B52:G52"/>
    <mergeCell ref="J21:J22"/>
    <mergeCell ref="P21:P22"/>
    <mergeCell ref="B48:F48"/>
    <mergeCell ref="B3:G3"/>
    <mergeCell ref="B7:F7"/>
    <mergeCell ref="S21:S22"/>
    <mergeCell ref="H21:H22"/>
    <mergeCell ref="H1:S1"/>
    <mergeCell ref="B1:G1"/>
    <mergeCell ref="J3:J4"/>
    <mergeCell ref="P3:P4"/>
    <mergeCell ref="Q3:Q4"/>
    <mergeCell ref="R3:R4"/>
    <mergeCell ref="S3:S4"/>
    <mergeCell ref="B4:G4"/>
    <mergeCell ref="J20:K20"/>
    <mergeCell ref="H3:H4"/>
    <mergeCell ref="B21:G22"/>
    <mergeCell ref="H36:H37"/>
    <mergeCell ref="J36:J37"/>
    <mergeCell ref="P36:P37"/>
    <mergeCell ref="Q36:Q37"/>
    <mergeCell ref="R36:R37"/>
    <mergeCell ref="S36:S37"/>
    <mergeCell ref="B36:G37"/>
    <mergeCell ref="B35:F35"/>
  </mergeCells>
  <printOptions horizontalCentered="1"/>
  <pageMargins left="0" right="0" top="0" bottom="0" header="0.51181102362204722" footer="0.39370078740157483"/>
  <pageSetup paperSize="9" scale="7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B1:U111"/>
  <sheetViews>
    <sheetView showGridLines="0" zoomScale="75" zoomScaleNormal="75" workbookViewId="0">
      <pane ySplit="3" topLeftCell="A4" activePane="bottomLeft" state="frozen"/>
      <selection activeCell="L275" sqref="L275"/>
      <selection pane="bottomLeft" activeCell="L275" sqref="L275"/>
    </sheetView>
  </sheetViews>
  <sheetFormatPr defaultRowHeight="12.75" x14ac:dyDescent="0.2"/>
  <cols>
    <col min="1" max="1" width="2.7109375" style="1" customWidth="1"/>
    <col min="2" max="2" width="3.42578125" style="9" customWidth="1"/>
    <col min="3" max="3" width="17.42578125" style="1" customWidth="1"/>
    <col min="4" max="4" width="3.42578125" style="1" customWidth="1"/>
    <col min="5" max="5" width="16.5703125" style="1" customWidth="1"/>
    <col min="6" max="6" width="18.42578125" style="9" customWidth="1"/>
    <col min="7" max="7" width="10.42578125" style="1" customWidth="1"/>
    <col min="8" max="8" width="11.28515625" style="9" customWidth="1"/>
    <col min="9" max="9" width="10.7109375" style="9" customWidth="1"/>
    <col min="10" max="10" width="12.42578125" style="9" customWidth="1"/>
    <col min="11" max="11" width="9.140625" style="9"/>
    <col min="12" max="12" width="11.140625" style="9" customWidth="1"/>
    <col min="13" max="13" width="7.7109375" style="9" customWidth="1"/>
    <col min="14" max="14" width="8.140625" style="9" customWidth="1"/>
    <col min="15" max="15" width="10.7109375" style="9" customWidth="1"/>
    <col min="16" max="16384" width="9.140625" style="1"/>
  </cols>
  <sheetData>
    <row r="1" spans="2:15" ht="27.75" customHeight="1" x14ac:dyDescent="0.2">
      <c r="B1" s="981" t="str">
        <f>MATRIZ!B1</f>
        <v>PORTARIA n.º 423/2025</v>
      </c>
      <c r="C1" s="982"/>
      <c r="D1" s="982"/>
      <c r="E1" s="982"/>
      <c r="F1" s="983"/>
      <c r="G1" s="975" t="s">
        <v>215</v>
      </c>
      <c r="H1" s="976"/>
      <c r="I1" s="976"/>
      <c r="J1" s="976"/>
      <c r="K1" s="976"/>
      <c r="L1" s="976"/>
      <c r="M1" s="976"/>
      <c r="N1" s="976"/>
      <c r="O1" s="977"/>
    </row>
    <row r="2" spans="2:15" ht="16.5" customHeight="1" x14ac:dyDescent="0.2">
      <c r="B2" s="1010" t="s">
        <v>441</v>
      </c>
      <c r="C2" s="1010"/>
      <c r="D2" s="1010"/>
      <c r="E2" s="1010"/>
      <c r="F2" s="986" t="s">
        <v>217</v>
      </c>
      <c r="G2" s="979" t="s">
        <v>45</v>
      </c>
      <c r="H2" s="978" t="s">
        <v>165</v>
      </c>
      <c r="I2" s="979" t="s">
        <v>218</v>
      </c>
      <c r="J2" s="979" t="s">
        <v>219</v>
      </c>
      <c r="K2" s="979" t="s">
        <v>4</v>
      </c>
      <c r="L2" s="979" t="s">
        <v>637</v>
      </c>
      <c r="M2" s="979" t="s">
        <v>5</v>
      </c>
      <c r="N2" s="979" t="s">
        <v>220</v>
      </c>
      <c r="O2" s="979" t="s">
        <v>7</v>
      </c>
    </row>
    <row r="3" spans="2:15" s="100" customFormat="1" ht="24" customHeight="1" x14ac:dyDescent="0.25">
      <c r="B3" s="1010"/>
      <c r="C3" s="1010"/>
      <c r="D3" s="1010"/>
      <c r="E3" s="1010"/>
      <c r="F3" s="989"/>
      <c r="G3" s="980"/>
      <c r="H3" s="978"/>
      <c r="I3" s="980"/>
      <c r="J3" s="980"/>
      <c r="K3" s="980"/>
      <c r="L3" s="980"/>
      <c r="M3" s="980"/>
      <c r="N3" s="980"/>
      <c r="O3" s="980"/>
    </row>
    <row r="4" spans="2:15" ht="18" customHeight="1" x14ac:dyDescent="0.25">
      <c r="B4" s="18" t="s">
        <v>166</v>
      </c>
      <c r="C4" s="4">
        <f>MATRIZ!C214</f>
        <v>0.01</v>
      </c>
      <c r="D4" s="4" t="s">
        <v>11</v>
      </c>
      <c r="E4" s="4">
        <f>MATRIZ!F214</f>
        <v>286.33</v>
      </c>
      <c r="F4" s="247" t="s">
        <v>221</v>
      </c>
      <c r="G4" s="248">
        <f>MATRIZ!I214</f>
        <v>28.09</v>
      </c>
      <c r="H4" s="18">
        <f>TRUNC(G4*2%,2)</f>
        <v>0.56000000000000005</v>
      </c>
      <c r="I4" s="18">
        <f>TRUNC(G4*20%,2)</f>
        <v>5.61</v>
      </c>
      <c r="J4" s="18">
        <f>TRUNC(G4*5%,2)</f>
        <v>1.4</v>
      </c>
      <c r="K4" s="18">
        <f>TRUNC(G4*5%,2)</f>
        <v>1.4</v>
      </c>
      <c r="L4" s="18">
        <f>TRUNC(G4*6%,2)</f>
        <v>1.68</v>
      </c>
      <c r="M4" s="18">
        <f>TRUNC(G4*3%,2)</f>
        <v>0.84</v>
      </c>
      <c r="N4" s="667" t="s">
        <v>230</v>
      </c>
      <c r="O4" s="119">
        <f>SUM(G4:N4)</f>
        <v>39.58</v>
      </c>
    </row>
    <row r="5" spans="2:15" ht="18" customHeight="1" x14ac:dyDescent="0.25">
      <c r="B5" s="18" t="s">
        <v>12</v>
      </c>
      <c r="C5" s="4">
        <f>MATRIZ!C215</f>
        <v>286.33999999999997</v>
      </c>
      <c r="D5" s="4" t="s">
        <v>11</v>
      </c>
      <c r="E5" s="4">
        <f>MATRIZ!F215</f>
        <v>357.95</v>
      </c>
      <c r="F5" s="247" t="s">
        <v>221</v>
      </c>
      <c r="G5" s="248">
        <f>MATRIZ!I215</f>
        <v>35.08</v>
      </c>
      <c r="H5" s="18">
        <f t="shared" ref="H5:H22" si="0">TRUNC(G5*2%,2)</f>
        <v>0.7</v>
      </c>
      <c r="I5" s="18">
        <f t="shared" ref="I5:I22" si="1">TRUNC(G5*20%,2)</f>
        <v>7.01</v>
      </c>
      <c r="J5" s="18">
        <f t="shared" ref="J5:J22" si="2">TRUNC(G5*5%,2)</f>
        <v>1.75</v>
      </c>
      <c r="K5" s="18">
        <f t="shared" ref="K5:K22" si="3">TRUNC(G5*5%,2)</f>
        <v>1.75</v>
      </c>
      <c r="L5" s="18">
        <f t="shared" ref="L5:L22" si="4">TRUNC(G5*6%,2)</f>
        <v>2.1</v>
      </c>
      <c r="M5" s="18">
        <f t="shared" ref="M5:M22" si="5">TRUNC(G5*3%,2)</f>
        <v>1.05</v>
      </c>
      <c r="N5" s="256" t="s">
        <v>230</v>
      </c>
      <c r="O5" s="119">
        <f t="shared" ref="O5:O22" si="6">SUM(G5:N5)</f>
        <v>49.44</v>
      </c>
    </row>
    <row r="6" spans="2:15" ht="18" customHeight="1" x14ac:dyDescent="0.25">
      <c r="B6" s="18" t="s">
        <v>13</v>
      </c>
      <c r="C6" s="4">
        <f>MATRIZ!C216</f>
        <v>357.96</v>
      </c>
      <c r="D6" s="4" t="s">
        <v>11</v>
      </c>
      <c r="E6" s="4">
        <f>MATRIZ!F216</f>
        <v>447.45</v>
      </c>
      <c r="F6" s="247" t="s">
        <v>221</v>
      </c>
      <c r="G6" s="248">
        <f>MATRIZ!I216</f>
        <v>43.86</v>
      </c>
      <c r="H6" s="18">
        <f t="shared" si="0"/>
        <v>0.87</v>
      </c>
      <c r="I6" s="18">
        <f t="shared" si="1"/>
        <v>8.77</v>
      </c>
      <c r="J6" s="18">
        <f t="shared" si="2"/>
        <v>2.19</v>
      </c>
      <c r="K6" s="18">
        <f t="shared" si="3"/>
        <v>2.19</v>
      </c>
      <c r="L6" s="18">
        <f t="shared" si="4"/>
        <v>2.63</v>
      </c>
      <c r="M6" s="18">
        <f t="shared" si="5"/>
        <v>1.31</v>
      </c>
      <c r="N6" s="256" t="s">
        <v>230</v>
      </c>
      <c r="O6" s="119">
        <f t="shared" si="6"/>
        <v>61.82</v>
      </c>
    </row>
    <row r="7" spans="2:15" ht="18" customHeight="1" x14ac:dyDescent="0.25">
      <c r="B7" s="18" t="s">
        <v>14</v>
      </c>
      <c r="C7" s="4">
        <f>MATRIZ!C217</f>
        <v>447.46</v>
      </c>
      <c r="D7" s="4" t="s">
        <v>11</v>
      </c>
      <c r="E7" s="4">
        <f>MATRIZ!F217</f>
        <v>559.34</v>
      </c>
      <c r="F7" s="247" t="s">
        <v>221</v>
      </c>
      <c r="G7" s="248">
        <f>MATRIZ!I217</f>
        <v>54.82</v>
      </c>
      <c r="H7" s="18">
        <f t="shared" si="0"/>
        <v>1.0900000000000001</v>
      </c>
      <c r="I7" s="18">
        <f t="shared" si="1"/>
        <v>10.96</v>
      </c>
      <c r="J7" s="18">
        <f t="shared" si="2"/>
        <v>2.74</v>
      </c>
      <c r="K7" s="18">
        <f t="shared" si="3"/>
        <v>2.74</v>
      </c>
      <c r="L7" s="18">
        <f t="shared" si="4"/>
        <v>3.28</v>
      </c>
      <c r="M7" s="18">
        <f t="shared" si="5"/>
        <v>1.64</v>
      </c>
      <c r="N7" s="256" t="s">
        <v>230</v>
      </c>
      <c r="O7" s="119">
        <f t="shared" si="6"/>
        <v>77.27</v>
      </c>
    </row>
    <row r="8" spans="2:15" ht="18" customHeight="1" x14ac:dyDescent="0.25">
      <c r="B8" s="18" t="s">
        <v>15</v>
      </c>
      <c r="C8" s="4">
        <f>MATRIZ!C218</f>
        <v>559.35</v>
      </c>
      <c r="D8" s="4" t="s">
        <v>11</v>
      </c>
      <c r="E8" s="4">
        <f>MATRIZ!F218</f>
        <v>669.19</v>
      </c>
      <c r="F8" s="247" t="s">
        <v>221</v>
      </c>
      <c r="G8" s="248">
        <f>MATRIZ!I218</f>
        <v>68.540000000000006</v>
      </c>
      <c r="H8" s="18">
        <f t="shared" si="0"/>
        <v>1.37</v>
      </c>
      <c r="I8" s="18">
        <f t="shared" si="1"/>
        <v>13.7</v>
      </c>
      <c r="J8" s="18">
        <f t="shared" si="2"/>
        <v>3.42</v>
      </c>
      <c r="K8" s="18">
        <f t="shared" si="3"/>
        <v>3.42</v>
      </c>
      <c r="L8" s="18">
        <f t="shared" si="4"/>
        <v>4.1100000000000003</v>
      </c>
      <c r="M8" s="18">
        <f t="shared" si="5"/>
        <v>2.0499999999999998</v>
      </c>
      <c r="N8" s="256" t="s">
        <v>230</v>
      </c>
      <c r="O8" s="119">
        <f t="shared" si="6"/>
        <v>96.610000000000014</v>
      </c>
    </row>
    <row r="9" spans="2:15" ht="18" customHeight="1" x14ac:dyDescent="0.25">
      <c r="B9" s="18" t="s">
        <v>16</v>
      </c>
      <c r="C9" s="4">
        <f>MATRIZ!C219</f>
        <v>669.2</v>
      </c>
      <c r="D9" s="4" t="s">
        <v>11</v>
      </c>
      <c r="E9" s="4">
        <f>MATRIZ!F219</f>
        <v>874</v>
      </c>
      <c r="F9" s="247" t="s">
        <v>221</v>
      </c>
      <c r="G9" s="248">
        <f>MATRIZ!I219</f>
        <v>85.67</v>
      </c>
      <c r="H9" s="18">
        <f t="shared" si="0"/>
        <v>1.71</v>
      </c>
      <c r="I9" s="18">
        <f t="shared" si="1"/>
        <v>17.13</v>
      </c>
      <c r="J9" s="18">
        <f t="shared" si="2"/>
        <v>4.28</v>
      </c>
      <c r="K9" s="18">
        <f t="shared" si="3"/>
        <v>4.28</v>
      </c>
      <c r="L9" s="18">
        <f t="shared" si="4"/>
        <v>5.14</v>
      </c>
      <c r="M9" s="18">
        <f t="shared" si="5"/>
        <v>2.57</v>
      </c>
      <c r="N9" s="256" t="s">
        <v>230</v>
      </c>
      <c r="O9" s="119">
        <f t="shared" si="6"/>
        <v>120.77999999999999</v>
      </c>
    </row>
    <row r="10" spans="2:15" ht="18" customHeight="1" x14ac:dyDescent="0.25">
      <c r="B10" s="18" t="s">
        <v>17</v>
      </c>
      <c r="C10" s="4">
        <f>MATRIZ!C220</f>
        <v>874.01</v>
      </c>
      <c r="D10" s="4" t="s">
        <v>11</v>
      </c>
      <c r="E10" s="4">
        <f>MATRIZ!F220</f>
        <v>1092.54</v>
      </c>
      <c r="F10" s="247" t="s">
        <v>221</v>
      </c>
      <c r="G10" s="248">
        <f>MATRIZ!I220</f>
        <v>107.1</v>
      </c>
      <c r="H10" s="18">
        <f t="shared" si="0"/>
        <v>2.14</v>
      </c>
      <c r="I10" s="18">
        <f t="shared" si="1"/>
        <v>21.42</v>
      </c>
      <c r="J10" s="18">
        <f t="shared" si="2"/>
        <v>5.35</v>
      </c>
      <c r="K10" s="18">
        <f t="shared" si="3"/>
        <v>5.35</v>
      </c>
      <c r="L10" s="18">
        <f t="shared" si="4"/>
        <v>6.42</v>
      </c>
      <c r="M10" s="18">
        <f t="shared" si="5"/>
        <v>3.21</v>
      </c>
      <c r="N10" s="256" t="s">
        <v>230</v>
      </c>
      <c r="O10" s="119">
        <f t="shared" si="6"/>
        <v>150.98999999999998</v>
      </c>
    </row>
    <row r="11" spans="2:15" ht="18" customHeight="1" x14ac:dyDescent="0.25">
      <c r="B11" s="18" t="s">
        <v>167</v>
      </c>
      <c r="C11" s="4">
        <f>MATRIZ!C221</f>
        <v>1092.55</v>
      </c>
      <c r="D11" s="4" t="s">
        <v>11</v>
      </c>
      <c r="E11" s="4">
        <f>MATRIZ!F221</f>
        <v>1365.69</v>
      </c>
      <c r="F11" s="247" t="s">
        <v>221</v>
      </c>
      <c r="G11" s="248">
        <f>MATRIZ!I221</f>
        <v>133.87</v>
      </c>
      <c r="H11" s="18">
        <f t="shared" si="0"/>
        <v>2.67</v>
      </c>
      <c r="I11" s="18">
        <f t="shared" si="1"/>
        <v>26.77</v>
      </c>
      <c r="J11" s="18">
        <f t="shared" si="2"/>
        <v>6.69</v>
      </c>
      <c r="K11" s="18">
        <f t="shared" si="3"/>
        <v>6.69</v>
      </c>
      <c r="L11" s="18">
        <f t="shared" si="4"/>
        <v>8.0299999999999994</v>
      </c>
      <c r="M11" s="18">
        <f t="shared" si="5"/>
        <v>4.01</v>
      </c>
      <c r="N11" s="256" t="s">
        <v>230</v>
      </c>
      <c r="O11" s="119">
        <f t="shared" si="6"/>
        <v>188.73</v>
      </c>
    </row>
    <row r="12" spans="2:15" ht="18" customHeight="1" x14ac:dyDescent="0.25">
      <c r="B12" s="18" t="s">
        <v>168</v>
      </c>
      <c r="C12" s="4">
        <f>MATRIZ!C222</f>
        <v>1365.7</v>
      </c>
      <c r="D12" s="4" t="s">
        <v>11</v>
      </c>
      <c r="E12" s="4">
        <f>MATRIZ!F222</f>
        <v>1707.13</v>
      </c>
      <c r="F12" s="247" t="s">
        <v>221</v>
      </c>
      <c r="G12" s="248">
        <f>MATRIZ!I222</f>
        <v>167.35</v>
      </c>
      <c r="H12" s="18">
        <f t="shared" si="0"/>
        <v>3.34</v>
      </c>
      <c r="I12" s="18">
        <f t="shared" si="1"/>
        <v>33.47</v>
      </c>
      <c r="J12" s="18">
        <f t="shared" si="2"/>
        <v>8.36</v>
      </c>
      <c r="K12" s="18">
        <f t="shared" si="3"/>
        <v>8.36</v>
      </c>
      <c r="L12" s="18">
        <f t="shared" si="4"/>
        <v>10.039999999999999</v>
      </c>
      <c r="M12" s="18">
        <f t="shared" si="5"/>
        <v>5.0199999999999996</v>
      </c>
      <c r="N12" s="256" t="s">
        <v>230</v>
      </c>
      <c r="O12" s="119">
        <f t="shared" si="6"/>
        <v>235.94</v>
      </c>
    </row>
    <row r="13" spans="2:15" ht="18" customHeight="1" x14ac:dyDescent="0.25">
      <c r="B13" s="18" t="s">
        <v>169</v>
      </c>
      <c r="C13" s="4">
        <f>MATRIZ!C223</f>
        <v>1707.14</v>
      </c>
      <c r="D13" s="4" t="s">
        <v>11</v>
      </c>
      <c r="E13" s="4">
        <f>MATRIZ!F223</f>
        <v>2133.9299999999998</v>
      </c>
      <c r="F13" s="247" t="s">
        <v>221</v>
      </c>
      <c r="G13" s="248">
        <f>MATRIZ!I223</f>
        <v>209.2</v>
      </c>
      <c r="H13" s="18">
        <f t="shared" si="0"/>
        <v>4.18</v>
      </c>
      <c r="I13" s="18">
        <f t="shared" si="1"/>
        <v>41.84</v>
      </c>
      <c r="J13" s="18">
        <f t="shared" si="2"/>
        <v>10.46</v>
      </c>
      <c r="K13" s="18">
        <f t="shared" si="3"/>
        <v>10.46</v>
      </c>
      <c r="L13" s="18">
        <f t="shared" si="4"/>
        <v>12.55</v>
      </c>
      <c r="M13" s="18">
        <f t="shared" si="5"/>
        <v>6.27</v>
      </c>
      <c r="N13" s="256" t="s">
        <v>230</v>
      </c>
      <c r="O13" s="119">
        <f t="shared" si="6"/>
        <v>294.95999999999998</v>
      </c>
    </row>
    <row r="14" spans="2:15" ht="18" customHeight="1" x14ac:dyDescent="0.25">
      <c r="B14" s="18" t="s">
        <v>170</v>
      </c>
      <c r="C14" s="4">
        <f>MATRIZ!C224</f>
        <v>2133.94</v>
      </c>
      <c r="D14" s="4" t="s">
        <v>11</v>
      </c>
      <c r="E14" s="4">
        <f>MATRIZ!F224</f>
        <v>2667.42</v>
      </c>
      <c r="F14" s="247" t="s">
        <v>221</v>
      </c>
      <c r="G14" s="248">
        <f>MATRIZ!I224</f>
        <v>261.49</v>
      </c>
      <c r="H14" s="18">
        <f t="shared" si="0"/>
        <v>5.22</v>
      </c>
      <c r="I14" s="18">
        <f t="shared" si="1"/>
        <v>52.29</v>
      </c>
      <c r="J14" s="18">
        <f t="shared" si="2"/>
        <v>13.07</v>
      </c>
      <c r="K14" s="18">
        <f t="shared" si="3"/>
        <v>13.07</v>
      </c>
      <c r="L14" s="18">
        <f t="shared" si="4"/>
        <v>15.68</v>
      </c>
      <c r="M14" s="18">
        <f t="shared" si="5"/>
        <v>7.84</v>
      </c>
      <c r="N14" s="256" t="s">
        <v>230</v>
      </c>
      <c r="O14" s="119">
        <f t="shared" si="6"/>
        <v>368.66</v>
      </c>
    </row>
    <row r="15" spans="2:15" ht="18" customHeight="1" x14ac:dyDescent="0.25">
      <c r="B15" s="18" t="s">
        <v>171</v>
      </c>
      <c r="C15" s="4">
        <f>MATRIZ!C225</f>
        <v>2667.4300000000003</v>
      </c>
      <c r="D15" s="4" t="s">
        <v>11</v>
      </c>
      <c r="E15" s="4">
        <f>MATRIZ!F225</f>
        <v>3334.29</v>
      </c>
      <c r="F15" s="247" t="s">
        <v>221</v>
      </c>
      <c r="G15" s="248">
        <f>MATRIZ!I225</f>
        <v>326.87</v>
      </c>
      <c r="H15" s="18">
        <f t="shared" si="0"/>
        <v>6.53</v>
      </c>
      <c r="I15" s="18">
        <f t="shared" si="1"/>
        <v>65.37</v>
      </c>
      <c r="J15" s="18">
        <f t="shared" si="2"/>
        <v>16.34</v>
      </c>
      <c r="K15" s="18">
        <f t="shared" si="3"/>
        <v>16.34</v>
      </c>
      <c r="L15" s="18">
        <f t="shared" si="4"/>
        <v>19.61</v>
      </c>
      <c r="M15" s="18">
        <f t="shared" si="5"/>
        <v>9.8000000000000007</v>
      </c>
      <c r="N15" s="256" t="s">
        <v>230</v>
      </c>
      <c r="O15" s="119">
        <f t="shared" si="6"/>
        <v>460.85999999999996</v>
      </c>
    </row>
    <row r="16" spans="2:15" ht="18" customHeight="1" x14ac:dyDescent="0.25">
      <c r="B16" s="18" t="s">
        <v>172</v>
      </c>
      <c r="C16" s="4">
        <f>MATRIZ!C226</f>
        <v>3334.3</v>
      </c>
      <c r="D16" s="4" t="s">
        <v>11</v>
      </c>
      <c r="E16" s="4">
        <f>MATRIZ!F226</f>
        <v>4167.88</v>
      </c>
      <c r="F16" s="247" t="s">
        <v>221</v>
      </c>
      <c r="G16" s="248">
        <f>MATRIZ!I226</f>
        <v>408.6</v>
      </c>
      <c r="H16" s="18">
        <f t="shared" si="0"/>
        <v>8.17</v>
      </c>
      <c r="I16" s="18">
        <f t="shared" si="1"/>
        <v>81.72</v>
      </c>
      <c r="J16" s="18">
        <f t="shared" si="2"/>
        <v>20.43</v>
      </c>
      <c r="K16" s="18">
        <f t="shared" si="3"/>
        <v>20.43</v>
      </c>
      <c r="L16" s="18">
        <f t="shared" si="4"/>
        <v>24.51</v>
      </c>
      <c r="M16" s="18">
        <f t="shared" si="5"/>
        <v>12.25</v>
      </c>
      <c r="N16" s="256" t="s">
        <v>230</v>
      </c>
      <c r="O16" s="119">
        <f t="shared" si="6"/>
        <v>576.1099999999999</v>
      </c>
    </row>
    <row r="17" spans="2:15" ht="18" customHeight="1" x14ac:dyDescent="0.25">
      <c r="B17" s="18" t="s">
        <v>173</v>
      </c>
      <c r="C17" s="4">
        <f>MATRIZ!C227</f>
        <v>4167.8900000000003</v>
      </c>
      <c r="D17" s="4" t="s">
        <v>11</v>
      </c>
      <c r="E17" s="4">
        <f>MATRIZ!F227</f>
        <v>5209.87</v>
      </c>
      <c r="F17" s="247" t="s">
        <v>221</v>
      </c>
      <c r="G17" s="248">
        <f>MATRIZ!I227</f>
        <v>510.77</v>
      </c>
      <c r="H17" s="18">
        <f t="shared" si="0"/>
        <v>10.210000000000001</v>
      </c>
      <c r="I17" s="18">
        <f t="shared" si="1"/>
        <v>102.15</v>
      </c>
      <c r="J17" s="18">
        <f t="shared" si="2"/>
        <v>25.53</v>
      </c>
      <c r="K17" s="18">
        <f t="shared" si="3"/>
        <v>25.53</v>
      </c>
      <c r="L17" s="18">
        <f t="shared" si="4"/>
        <v>30.64</v>
      </c>
      <c r="M17" s="18">
        <f t="shared" si="5"/>
        <v>15.32</v>
      </c>
      <c r="N17" s="256" t="s">
        <v>230</v>
      </c>
      <c r="O17" s="119">
        <f t="shared" si="6"/>
        <v>720.15</v>
      </c>
    </row>
    <row r="18" spans="2:15" ht="18" customHeight="1" x14ac:dyDescent="0.25">
      <c r="B18" s="18" t="s">
        <v>174</v>
      </c>
      <c r="C18" s="4">
        <f>MATRIZ!C228</f>
        <v>5209.88</v>
      </c>
      <c r="D18" s="4" t="s">
        <v>11</v>
      </c>
      <c r="E18" s="4">
        <f>MATRIZ!F228</f>
        <v>6512.36</v>
      </c>
      <c r="F18" s="247" t="s">
        <v>221</v>
      </c>
      <c r="G18" s="248">
        <f>MATRIZ!I228</f>
        <v>638.46</v>
      </c>
      <c r="H18" s="18">
        <f t="shared" si="0"/>
        <v>12.76</v>
      </c>
      <c r="I18" s="18">
        <f t="shared" si="1"/>
        <v>127.69</v>
      </c>
      <c r="J18" s="18">
        <f t="shared" si="2"/>
        <v>31.92</v>
      </c>
      <c r="K18" s="18">
        <f t="shared" si="3"/>
        <v>31.92</v>
      </c>
      <c r="L18" s="18">
        <f t="shared" si="4"/>
        <v>38.299999999999997</v>
      </c>
      <c r="M18" s="18">
        <f t="shared" si="5"/>
        <v>19.149999999999999</v>
      </c>
      <c r="N18" s="256" t="s">
        <v>230</v>
      </c>
      <c r="O18" s="119">
        <f t="shared" si="6"/>
        <v>900.19999999999993</v>
      </c>
    </row>
    <row r="19" spans="2:15" ht="18" customHeight="1" x14ac:dyDescent="0.25">
      <c r="B19" s="18" t="s">
        <v>175</v>
      </c>
      <c r="C19" s="4">
        <f>MATRIZ!C229</f>
        <v>6512.37</v>
      </c>
      <c r="D19" s="4" t="s">
        <v>11</v>
      </c>
      <c r="E19" s="4">
        <f>MATRIZ!F229</f>
        <v>8140.47</v>
      </c>
      <c r="F19" s="247" t="s">
        <v>221</v>
      </c>
      <c r="G19" s="248">
        <f>MATRIZ!I229</f>
        <v>798.08</v>
      </c>
      <c r="H19" s="18">
        <f t="shared" si="0"/>
        <v>15.96</v>
      </c>
      <c r="I19" s="18">
        <f t="shared" si="1"/>
        <v>159.61000000000001</v>
      </c>
      <c r="J19" s="18">
        <f t="shared" si="2"/>
        <v>39.9</v>
      </c>
      <c r="K19" s="18">
        <f t="shared" si="3"/>
        <v>39.9</v>
      </c>
      <c r="L19" s="18">
        <f t="shared" si="4"/>
        <v>47.88</v>
      </c>
      <c r="M19" s="18">
        <f t="shared" si="5"/>
        <v>23.94</v>
      </c>
      <c r="N19" s="256" t="s">
        <v>230</v>
      </c>
      <c r="O19" s="119">
        <f t="shared" si="6"/>
        <v>1125.2700000000002</v>
      </c>
    </row>
    <row r="20" spans="2:15" ht="18" customHeight="1" x14ac:dyDescent="0.25">
      <c r="B20" s="18" t="s">
        <v>176</v>
      </c>
      <c r="C20" s="4">
        <f>MATRIZ!C230</f>
        <v>8140.4800000000005</v>
      </c>
      <c r="D20" s="4" t="s">
        <v>11</v>
      </c>
      <c r="E20" s="4">
        <f>MATRIZ!F230</f>
        <v>16802.990000000002</v>
      </c>
      <c r="F20" s="247" t="s">
        <v>221</v>
      </c>
      <c r="G20" s="248">
        <f>MATRIZ!I230</f>
        <v>941.01</v>
      </c>
      <c r="H20" s="18">
        <f t="shared" si="0"/>
        <v>18.82</v>
      </c>
      <c r="I20" s="18">
        <f t="shared" si="1"/>
        <v>188.2</v>
      </c>
      <c r="J20" s="18">
        <f t="shared" si="2"/>
        <v>47.05</v>
      </c>
      <c r="K20" s="18">
        <f t="shared" si="3"/>
        <v>47.05</v>
      </c>
      <c r="L20" s="18">
        <f t="shared" si="4"/>
        <v>56.46</v>
      </c>
      <c r="M20" s="18">
        <f t="shared" si="5"/>
        <v>28.23</v>
      </c>
      <c r="N20" s="256" t="s">
        <v>230</v>
      </c>
      <c r="O20" s="119">
        <f t="shared" si="6"/>
        <v>1326.82</v>
      </c>
    </row>
    <row r="21" spans="2:15" ht="18" customHeight="1" x14ac:dyDescent="0.25">
      <c r="B21" s="18" t="s">
        <v>177</v>
      </c>
      <c r="C21" s="4">
        <f>MATRIZ!C231</f>
        <v>16803</v>
      </c>
      <c r="D21" s="4" t="s">
        <v>11</v>
      </c>
      <c r="E21" s="4">
        <f>MATRIZ!F231</f>
        <v>28601.46</v>
      </c>
      <c r="F21" s="247" t="s">
        <v>221</v>
      </c>
      <c r="G21" s="248">
        <f>MATRIZ!I231</f>
        <v>1021.06</v>
      </c>
      <c r="H21" s="18">
        <f t="shared" si="0"/>
        <v>20.420000000000002</v>
      </c>
      <c r="I21" s="18">
        <f t="shared" si="1"/>
        <v>204.21</v>
      </c>
      <c r="J21" s="18">
        <f t="shared" si="2"/>
        <v>51.05</v>
      </c>
      <c r="K21" s="18">
        <f t="shared" si="3"/>
        <v>51.05</v>
      </c>
      <c r="L21" s="18">
        <f t="shared" si="4"/>
        <v>61.26</v>
      </c>
      <c r="M21" s="18">
        <f t="shared" si="5"/>
        <v>30.63</v>
      </c>
      <c r="N21" s="256" t="s">
        <v>230</v>
      </c>
      <c r="O21" s="119">
        <f t="shared" si="6"/>
        <v>1439.68</v>
      </c>
    </row>
    <row r="22" spans="2:15" ht="18" customHeight="1" x14ac:dyDescent="0.25">
      <c r="B22" s="120" t="s">
        <v>178</v>
      </c>
      <c r="C22" s="458" t="s">
        <v>253</v>
      </c>
      <c r="D22" s="458"/>
      <c r="E22" s="458">
        <f>+E21+0.011</f>
        <v>28601.470999999998</v>
      </c>
      <c r="F22" s="459" t="s">
        <v>221</v>
      </c>
      <c r="G22" s="448">
        <f>MATRIZ!I232</f>
        <v>1529.71</v>
      </c>
      <c r="H22" s="120">
        <f t="shared" si="0"/>
        <v>30.59</v>
      </c>
      <c r="I22" s="120">
        <f t="shared" si="1"/>
        <v>305.94</v>
      </c>
      <c r="J22" s="120">
        <f t="shared" si="2"/>
        <v>76.48</v>
      </c>
      <c r="K22" s="120">
        <f t="shared" si="3"/>
        <v>76.48</v>
      </c>
      <c r="L22" s="120">
        <f t="shared" si="4"/>
        <v>91.78</v>
      </c>
      <c r="M22" s="120">
        <f t="shared" si="5"/>
        <v>45.89</v>
      </c>
      <c r="N22" s="258" t="s">
        <v>230</v>
      </c>
      <c r="O22" s="460">
        <f t="shared" si="6"/>
        <v>2156.87</v>
      </c>
    </row>
    <row r="23" spans="2:15" ht="14.25" customHeight="1" x14ac:dyDescent="0.25">
      <c r="B23" s="4"/>
      <c r="C23" s="4"/>
      <c r="D23" s="4"/>
      <c r="E23" s="4"/>
      <c r="F23" s="122"/>
      <c r="G23" s="101"/>
      <c r="H23" s="4"/>
      <c r="I23" s="4"/>
      <c r="J23" s="4"/>
      <c r="K23" s="4"/>
      <c r="L23" s="4"/>
      <c r="M23" s="4"/>
      <c r="N23" s="4"/>
      <c r="O23" s="123"/>
    </row>
    <row r="24" spans="2:15" ht="20.25" customHeight="1" x14ac:dyDescent="0.2">
      <c r="B24" s="1007" t="s">
        <v>440</v>
      </c>
      <c r="C24" s="1008"/>
      <c r="D24" s="1008"/>
      <c r="E24" s="1008"/>
      <c r="F24" s="1008"/>
      <c r="G24" s="1008"/>
      <c r="H24" s="1008"/>
      <c r="I24" s="1008"/>
      <c r="J24" s="1008"/>
      <c r="K24" s="1008"/>
      <c r="L24" s="1008"/>
      <c r="M24" s="1008"/>
      <c r="N24" s="1008"/>
      <c r="O24" s="1009"/>
    </row>
    <row r="25" spans="2:15" ht="15" customHeight="1" x14ac:dyDescent="0.2">
      <c r="B25" s="984" t="s">
        <v>216</v>
      </c>
      <c r="C25" s="984"/>
      <c r="D25" s="984"/>
      <c r="E25" s="984"/>
      <c r="F25" s="978" t="s">
        <v>217</v>
      </c>
      <c r="G25" s="978" t="s">
        <v>45</v>
      </c>
      <c r="H25" s="978" t="s">
        <v>165</v>
      </c>
      <c r="I25" s="978" t="s">
        <v>218</v>
      </c>
      <c r="J25" s="978" t="s">
        <v>219</v>
      </c>
      <c r="K25" s="978" t="s">
        <v>4</v>
      </c>
      <c r="L25" s="978" t="s">
        <v>637</v>
      </c>
      <c r="M25" s="978" t="s">
        <v>5</v>
      </c>
      <c r="N25" s="978" t="s">
        <v>220</v>
      </c>
      <c r="O25" s="978" t="s">
        <v>7</v>
      </c>
    </row>
    <row r="26" spans="2:15" ht="15.75" customHeight="1" x14ac:dyDescent="0.2">
      <c r="B26" s="984"/>
      <c r="C26" s="984"/>
      <c r="D26" s="984"/>
      <c r="E26" s="984"/>
      <c r="F26" s="978"/>
      <c r="G26" s="978"/>
      <c r="H26" s="978"/>
      <c r="I26" s="978"/>
      <c r="J26" s="978"/>
      <c r="K26" s="978"/>
      <c r="L26" s="978"/>
      <c r="M26" s="978"/>
      <c r="N26" s="978"/>
      <c r="O26" s="978"/>
    </row>
    <row r="27" spans="2:15" ht="18" customHeight="1" x14ac:dyDescent="0.25">
      <c r="B27" s="18" t="s">
        <v>166</v>
      </c>
      <c r="C27" s="4">
        <f>MATRIZ!C235</f>
        <v>0.01</v>
      </c>
      <c r="D27" s="4" t="s">
        <v>11</v>
      </c>
      <c r="E27" s="4">
        <f>MATRIZ!F235</f>
        <v>286.33</v>
      </c>
      <c r="F27" s="255" t="s">
        <v>222</v>
      </c>
      <c r="G27" s="248">
        <f>MATRIZ!I235</f>
        <v>14.04</v>
      </c>
      <c r="H27" s="18">
        <f t="shared" ref="H27:H45" si="7">TRUNC(G27*2%,2)</f>
        <v>0.28000000000000003</v>
      </c>
      <c r="I27" s="18">
        <f t="shared" ref="I27" si="8">TRUNC(G27*20%,2)</f>
        <v>2.8</v>
      </c>
      <c r="J27" s="18">
        <f t="shared" ref="J27" si="9">TRUNC(G27*5%,2)</f>
        <v>0.7</v>
      </c>
      <c r="K27" s="18">
        <f t="shared" ref="K27" si="10">TRUNC(G27*5%,2)</f>
        <v>0.7</v>
      </c>
      <c r="L27" s="18">
        <f>TRUNC(G27*6%,2)</f>
        <v>0.84</v>
      </c>
      <c r="M27" s="18">
        <f t="shared" ref="M27" si="11">TRUNC(G27*3%,2)</f>
        <v>0.42</v>
      </c>
      <c r="N27" s="18">
        <f>MATRIZ!$I$382</f>
        <v>2.87</v>
      </c>
      <c r="O27" s="119">
        <f t="shared" ref="O27" si="12">SUM(G27:N27)</f>
        <v>22.65</v>
      </c>
    </row>
    <row r="28" spans="2:15" ht="18" customHeight="1" x14ac:dyDescent="0.25">
      <c r="B28" s="18" t="s">
        <v>12</v>
      </c>
      <c r="C28" s="4">
        <f>MATRIZ!C236</f>
        <v>286.33999999999997</v>
      </c>
      <c r="D28" s="4" t="s">
        <v>11</v>
      </c>
      <c r="E28" s="4">
        <f>MATRIZ!F236</f>
        <v>357.95</v>
      </c>
      <c r="F28" s="247" t="s">
        <v>222</v>
      </c>
      <c r="G28" s="248">
        <f>MATRIZ!I236</f>
        <v>17.54</v>
      </c>
      <c r="H28" s="18">
        <f t="shared" si="7"/>
        <v>0.35</v>
      </c>
      <c r="I28" s="18">
        <f t="shared" ref="I28:I45" si="13">TRUNC(G28*20%,2)</f>
        <v>3.5</v>
      </c>
      <c r="J28" s="18">
        <f t="shared" ref="J28:J45" si="14">TRUNC(G28*5%,2)</f>
        <v>0.87</v>
      </c>
      <c r="K28" s="18">
        <f t="shared" ref="K28:K45" si="15">TRUNC(G28*5%,2)</f>
        <v>0.87</v>
      </c>
      <c r="L28" s="18">
        <f t="shared" ref="L28:L45" si="16">TRUNC(G28*6%,2)</f>
        <v>1.05</v>
      </c>
      <c r="M28" s="18">
        <f t="shared" ref="M28:M45" si="17">TRUNC(G28*3%,2)</f>
        <v>0.52</v>
      </c>
      <c r="N28" s="18">
        <f>MATRIZ!$I$382</f>
        <v>2.87</v>
      </c>
      <c r="O28" s="119">
        <f t="shared" ref="O28:O45" si="18">SUM(G28:N28)</f>
        <v>27.570000000000004</v>
      </c>
    </row>
    <row r="29" spans="2:15" ht="18" customHeight="1" x14ac:dyDescent="0.25">
      <c r="B29" s="18" t="s">
        <v>13</v>
      </c>
      <c r="C29" s="4">
        <f>MATRIZ!C237</f>
        <v>357.96</v>
      </c>
      <c r="D29" s="4" t="s">
        <v>11</v>
      </c>
      <c r="E29" s="4">
        <f>MATRIZ!F237</f>
        <v>447.45</v>
      </c>
      <c r="F29" s="247" t="s">
        <v>222</v>
      </c>
      <c r="G29" s="248">
        <f>MATRIZ!I237</f>
        <v>21.93</v>
      </c>
      <c r="H29" s="18">
        <f t="shared" si="7"/>
        <v>0.43</v>
      </c>
      <c r="I29" s="18">
        <f t="shared" si="13"/>
        <v>4.38</v>
      </c>
      <c r="J29" s="18">
        <f t="shared" si="14"/>
        <v>1.0900000000000001</v>
      </c>
      <c r="K29" s="18">
        <f t="shared" si="15"/>
        <v>1.0900000000000001</v>
      </c>
      <c r="L29" s="18">
        <f t="shared" si="16"/>
        <v>1.31</v>
      </c>
      <c r="M29" s="18">
        <f t="shared" si="17"/>
        <v>0.65</v>
      </c>
      <c r="N29" s="18">
        <f>MATRIZ!$I$382</f>
        <v>2.87</v>
      </c>
      <c r="O29" s="119">
        <f t="shared" si="18"/>
        <v>33.749999999999993</v>
      </c>
    </row>
    <row r="30" spans="2:15" ht="18" customHeight="1" x14ac:dyDescent="0.25">
      <c r="B30" s="18" t="s">
        <v>14</v>
      </c>
      <c r="C30" s="4">
        <f>MATRIZ!C238</f>
        <v>447.46</v>
      </c>
      <c r="D30" s="4" t="s">
        <v>11</v>
      </c>
      <c r="E30" s="4">
        <f>MATRIZ!F238</f>
        <v>559.34</v>
      </c>
      <c r="F30" s="247" t="s">
        <v>222</v>
      </c>
      <c r="G30" s="248">
        <f>MATRIZ!I238</f>
        <v>27.41</v>
      </c>
      <c r="H30" s="18">
        <f t="shared" si="7"/>
        <v>0.54</v>
      </c>
      <c r="I30" s="18">
        <f t="shared" si="13"/>
        <v>5.48</v>
      </c>
      <c r="J30" s="18">
        <f t="shared" si="14"/>
        <v>1.37</v>
      </c>
      <c r="K30" s="18">
        <f t="shared" si="15"/>
        <v>1.37</v>
      </c>
      <c r="L30" s="18">
        <f t="shared" si="16"/>
        <v>1.64</v>
      </c>
      <c r="M30" s="18">
        <f t="shared" si="17"/>
        <v>0.82</v>
      </c>
      <c r="N30" s="18">
        <f>MATRIZ!$I$382</f>
        <v>2.87</v>
      </c>
      <c r="O30" s="119">
        <f t="shared" si="18"/>
        <v>41.499999999999993</v>
      </c>
    </row>
    <row r="31" spans="2:15" ht="18" customHeight="1" x14ac:dyDescent="0.25">
      <c r="B31" s="18" t="s">
        <v>15</v>
      </c>
      <c r="C31" s="4">
        <f>MATRIZ!C239</f>
        <v>559.35</v>
      </c>
      <c r="D31" s="4" t="s">
        <v>11</v>
      </c>
      <c r="E31" s="4">
        <f>MATRIZ!F239</f>
        <v>669.19</v>
      </c>
      <c r="F31" s="247" t="s">
        <v>222</v>
      </c>
      <c r="G31" s="248">
        <f>MATRIZ!I239</f>
        <v>34.270000000000003</v>
      </c>
      <c r="H31" s="18">
        <f t="shared" si="7"/>
        <v>0.68</v>
      </c>
      <c r="I31" s="18">
        <f t="shared" si="13"/>
        <v>6.85</v>
      </c>
      <c r="J31" s="18">
        <f t="shared" si="14"/>
        <v>1.71</v>
      </c>
      <c r="K31" s="18">
        <f t="shared" si="15"/>
        <v>1.71</v>
      </c>
      <c r="L31" s="18">
        <f t="shared" si="16"/>
        <v>2.0499999999999998</v>
      </c>
      <c r="M31" s="18">
        <f t="shared" si="17"/>
        <v>1.02</v>
      </c>
      <c r="N31" s="18">
        <f>MATRIZ!$I$382</f>
        <v>2.87</v>
      </c>
      <c r="O31" s="119">
        <f t="shared" si="18"/>
        <v>51.160000000000004</v>
      </c>
    </row>
    <row r="32" spans="2:15" ht="18" customHeight="1" x14ac:dyDescent="0.25">
      <c r="B32" s="18" t="s">
        <v>16</v>
      </c>
      <c r="C32" s="4">
        <f>MATRIZ!C240</f>
        <v>669.2</v>
      </c>
      <c r="D32" s="4" t="s">
        <v>11</v>
      </c>
      <c r="E32" s="4">
        <f>MATRIZ!F240</f>
        <v>874</v>
      </c>
      <c r="F32" s="247" t="s">
        <v>222</v>
      </c>
      <c r="G32" s="248">
        <f>MATRIZ!I240</f>
        <v>42.83</v>
      </c>
      <c r="H32" s="18">
        <f t="shared" si="7"/>
        <v>0.85</v>
      </c>
      <c r="I32" s="18">
        <f t="shared" si="13"/>
        <v>8.56</v>
      </c>
      <c r="J32" s="18">
        <f t="shared" si="14"/>
        <v>2.14</v>
      </c>
      <c r="K32" s="18">
        <f t="shared" si="15"/>
        <v>2.14</v>
      </c>
      <c r="L32" s="18">
        <f t="shared" si="16"/>
        <v>2.56</v>
      </c>
      <c r="M32" s="18">
        <f t="shared" si="17"/>
        <v>1.28</v>
      </c>
      <c r="N32" s="18">
        <f>MATRIZ!$I$382</f>
        <v>2.87</v>
      </c>
      <c r="O32" s="119">
        <f t="shared" si="18"/>
        <v>63.230000000000004</v>
      </c>
    </row>
    <row r="33" spans="2:15" ht="18" customHeight="1" x14ac:dyDescent="0.25">
      <c r="B33" s="18" t="s">
        <v>17</v>
      </c>
      <c r="C33" s="4">
        <f>MATRIZ!C241</f>
        <v>874.01</v>
      </c>
      <c r="D33" s="4" t="s">
        <v>11</v>
      </c>
      <c r="E33" s="4">
        <f>MATRIZ!F241</f>
        <v>1092.54</v>
      </c>
      <c r="F33" s="247" t="s">
        <v>222</v>
      </c>
      <c r="G33" s="248">
        <f>MATRIZ!I241</f>
        <v>53.55</v>
      </c>
      <c r="H33" s="18">
        <f t="shared" si="7"/>
        <v>1.07</v>
      </c>
      <c r="I33" s="18">
        <f t="shared" si="13"/>
        <v>10.71</v>
      </c>
      <c r="J33" s="18">
        <f t="shared" si="14"/>
        <v>2.67</v>
      </c>
      <c r="K33" s="18">
        <f t="shared" si="15"/>
        <v>2.67</v>
      </c>
      <c r="L33" s="18">
        <f t="shared" si="16"/>
        <v>3.21</v>
      </c>
      <c r="M33" s="18">
        <f t="shared" si="17"/>
        <v>1.6</v>
      </c>
      <c r="N33" s="18">
        <f>MATRIZ!$I$382</f>
        <v>2.87</v>
      </c>
      <c r="O33" s="119">
        <f t="shared" si="18"/>
        <v>78.349999999999994</v>
      </c>
    </row>
    <row r="34" spans="2:15" ht="18" customHeight="1" x14ac:dyDescent="0.25">
      <c r="B34" s="18" t="s">
        <v>167</v>
      </c>
      <c r="C34" s="4">
        <f>MATRIZ!C242</f>
        <v>1092.55</v>
      </c>
      <c r="D34" s="4" t="s">
        <v>11</v>
      </c>
      <c r="E34" s="4">
        <f>MATRIZ!F242</f>
        <v>1365.69</v>
      </c>
      <c r="F34" s="247" t="s">
        <v>222</v>
      </c>
      <c r="G34" s="248">
        <f>MATRIZ!I242</f>
        <v>66.930000000000007</v>
      </c>
      <c r="H34" s="18">
        <f t="shared" si="7"/>
        <v>1.33</v>
      </c>
      <c r="I34" s="18">
        <f t="shared" si="13"/>
        <v>13.38</v>
      </c>
      <c r="J34" s="18">
        <f t="shared" si="14"/>
        <v>3.34</v>
      </c>
      <c r="K34" s="18">
        <f t="shared" si="15"/>
        <v>3.34</v>
      </c>
      <c r="L34" s="18">
        <f t="shared" si="16"/>
        <v>4.01</v>
      </c>
      <c r="M34" s="18">
        <f t="shared" si="17"/>
        <v>2</v>
      </c>
      <c r="N34" s="18">
        <f>MATRIZ!$I$382</f>
        <v>2.87</v>
      </c>
      <c r="O34" s="119">
        <f t="shared" si="18"/>
        <v>97.200000000000017</v>
      </c>
    </row>
    <row r="35" spans="2:15" ht="18" customHeight="1" x14ac:dyDescent="0.25">
      <c r="B35" s="18" t="s">
        <v>168</v>
      </c>
      <c r="C35" s="4">
        <f>MATRIZ!C243</f>
        <v>1365.7</v>
      </c>
      <c r="D35" s="4" t="s">
        <v>11</v>
      </c>
      <c r="E35" s="4">
        <f>MATRIZ!F243</f>
        <v>1707.13</v>
      </c>
      <c r="F35" s="247" t="s">
        <v>222</v>
      </c>
      <c r="G35" s="248">
        <f>MATRIZ!I243</f>
        <v>83.67</v>
      </c>
      <c r="H35" s="18">
        <f t="shared" si="7"/>
        <v>1.67</v>
      </c>
      <c r="I35" s="18">
        <f t="shared" si="13"/>
        <v>16.73</v>
      </c>
      <c r="J35" s="18">
        <f t="shared" si="14"/>
        <v>4.18</v>
      </c>
      <c r="K35" s="18">
        <f t="shared" si="15"/>
        <v>4.18</v>
      </c>
      <c r="L35" s="18">
        <f t="shared" si="16"/>
        <v>5.0199999999999996</v>
      </c>
      <c r="M35" s="18">
        <f t="shared" si="17"/>
        <v>2.5099999999999998</v>
      </c>
      <c r="N35" s="18">
        <f>MATRIZ!$I$382</f>
        <v>2.87</v>
      </c>
      <c r="O35" s="119">
        <f t="shared" si="18"/>
        <v>120.83000000000001</v>
      </c>
    </row>
    <row r="36" spans="2:15" ht="18" customHeight="1" x14ac:dyDescent="0.25">
      <c r="B36" s="18" t="s">
        <v>169</v>
      </c>
      <c r="C36" s="4">
        <f>MATRIZ!C244</f>
        <v>1707.14</v>
      </c>
      <c r="D36" s="4" t="s">
        <v>11</v>
      </c>
      <c r="E36" s="4">
        <f>MATRIZ!F244</f>
        <v>2133.9299999999998</v>
      </c>
      <c r="F36" s="247" t="s">
        <v>222</v>
      </c>
      <c r="G36" s="248">
        <f>MATRIZ!I244</f>
        <v>104.6</v>
      </c>
      <c r="H36" s="18">
        <f t="shared" si="7"/>
        <v>2.09</v>
      </c>
      <c r="I36" s="18">
        <f t="shared" si="13"/>
        <v>20.92</v>
      </c>
      <c r="J36" s="18">
        <f t="shared" si="14"/>
        <v>5.23</v>
      </c>
      <c r="K36" s="18">
        <f t="shared" si="15"/>
        <v>5.23</v>
      </c>
      <c r="L36" s="18">
        <f t="shared" si="16"/>
        <v>6.27</v>
      </c>
      <c r="M36" s="18">
        <f t="shared" si="17"/>
        <v>3.13</v>
      </c>
      <c r="N36" s="18">
        <f>MATRIZ!$I$382</f>
        <v>2.87</v>
      </c>
      <c r="O36" s="119">
        <f t="shared" si="18"/>
        <v>150.34</v>
      </c>
    </row>
    <row r="37" spans="2:15" ht="18" customHeight="1" x14ac:dyDescent="0.25">
      <c r="B37" s="18" t="s">
        <v>170</v>
      </c>
      <c r="C37" s="4">
        <f>MATRIZ!C245</f>
        <v>2133.94</v>
      </c>
      <c r="D37" s="4" t="s">
        <v>11</v>
      </c>
      <c r="E37" s="4">
        <f>MATRIZ!F245</f>
        <v>2667.42</v>
      </c>
      <c r="F37" s="247" t="s">
        <v>222</v>
      </c>
      <c r="G37" s="248">
        <f>MATRIZ!I245</f>
        <v>130.74</v>
      </c>
      <c r="H37" s="18">
        <f t="shared" si="7"/>
        <v>2.61</v>
      </c>
      <c r="I37" s="18">
        <f t="shared" si="13"/>
        <v>26.14</v>
      </c>
      <c r="J37" s="18">
        <f t="shared" si="14"/>
        <v>6.53</v>
      </c>
      <c r="K37" s="18">
        <f t="shared" si="15"/>
        <v>6.53</v>
      </c>
      <c r="L37" s="18">
        <f t="shared" si="16"/>
        <v>7.84</v>
      </c>
      <c r="M37" s="18">
        <f t="shared" si="17"/>
        <v>3.92</v>
      </c>
      <c r="N37" s="18">
        <f>MATRIZ!$I$382</f>
        <v>2.87</v>
      </c>
      <c r="O37" s="119">
        <f t="shared" si="18"/>
        <v>187.18</v>
      </c>
    </row>
    <row r="38" spans="2:15" ht="18" customHeight="1" x14ac:dyDescent="0.25">
      <c r="B38" s="18" t="s">
        <v>171</v>
      </c>
      <c r="C38" s="4">
        <f>MATRIZ!C246</f>
        <v>2667.4300000000003</v>
      </c>
      <c r="D38" s="4" t="s">
        <v>11</v>
      </c>
      <c r="E38" s="4">
        <f>MATRIZ!F246</f>
        <v>3334.29</v>
      </c>
      <c r="F38" s="247" t="s">
        <v>222</v>
      </c>
      <c r="G38" s="248">
        <f>MATRIZ!I246</f>
        <v>163.43</v>
      </c>
      <c r="H38" s="18">
        <f t="shared" si="7"/>
        <v>3.26</v>
      </c>
      <c r="I38" s="18">
        <f t="shared" si="13"/>
        <v>32.68</v>
      </c>
      <c r="J38" s="18">
        <f t="shared" si="14"/>
        <v>8.17</v>
      </c>
      <c r="K38" s="18">
        <f t="shared" si="15"/>
        <v>8.17</v>
      </c>
      <c r="L38" s="18">
        <f t="shared" si="16"/>
        <v>9.8000000000000007</v>
      </c>
      <c r="M38" s="18">
        <f t="shared" si="17"/>
        <v>4.9000000000000004</v>
      </c>
      <c r="N38" s="18">
        <f>MATRIZ!$I$382</f>
        <v>2.87</v>
      </c>
      <c r="O38" s="119">
        <f t="shared" si="18"/>
        <v>233.28</v>
      </c>
    </row>
    <row r="39" spans="2:15" ht="18" customHeight="1" x14ac:dyDescent="0.25">
      <c r="B39" s="18" t="s">
        <v>172</v>
      </c>
      <c r="C39" s="4">
        <f>MATRIZ!C247</f>
        <v>3334.3</v>
      </c>
      <c r="D39" s="4" t="s">
        <v>11</v>
      </c>
      <c r="E39" s="4">
        <f>MATRIZ!F247</f>
        <v>4167.88</v>
      </c>
      <c r="F39" s="247" t="s">
        <v>222</v>
      </c>
      <c r="G39" s="248">
        <f>MATRIZ!I247</f>
        <v>204.3</v>
      </c>
      <c r="H39" s="18">
        <f t="shared" si="7"/>
        <v>4.08</v>
      </c>
      <c r="I39" s="18">
        <f t="shared" si="13"/>
        <v>40.86</v>
      </c>
      <c r="J39" s="18">
        <f t="shared" si="14"/>
        <v>10.210000000000001</v>
      </c>
      <c r="K39" s="18">
        <f t="shared" si="15"/>
        <v>10.210000000000001</v>
      </c>
      <c r="L39" s="18">
        <f t="shared" si="16"/>
        <v>12.25</v>
      </c>
      <c r="M39" s="18">
        <f t="shared" si="17"/>
        <v>6.12</v>
      </c>
      <c r="N39" s="18">
        <f>MATRIZ!$I$382</f>
        <v>2.87</v>
      </c>
      <c r="O39" s="119">
        <f t="shared" si="18"/>
        <v>290.89999999999998</v>
      </c>
    </row>
    <row r="40" spans="2:15" ht="18" customHeight="1" x14ac:dyDescent="0.25">
      <c r="B40" s="18" t="s">
        <v>173</v>
      </c>
      <c r="C40" s="4">
        <f>MATRIZ!C248</f>
        <v>4167.8900000000003</v>
      </c>
      <c r="D40" s="4" t="s">
        <v>11</v>
      </c>
      <c r="E40" s="4">
        <f>MATRIZ!F248</f>
        <v>5209.87</v>
      </c>
      <c r="F40" s="247" t="s">
        <v>222</v>
      </c>
      <c r="G40" s="248">
        <f>MATRIZ!I248</f>
        <v>255.38</v>
      </c>
      <c r="H40" s="18">
        <f t="shared" si="7"/>
        <v>5.0999999999999996</v>
      </c>
      <c r="I40" s="18">
        <f t="shared" si="13"/>
        <v>51.07</v>
      </c>
      <c r="J40" s="18">
        <f t="shared" si="14"/>
        <v>12.76</v>
      </c>
      <c r="K40" s="18">
        <f t="shared" si="15"/>
        <v>12.76</v>
      </c>
      <c r="L40" s="18">
        <f t="shared" si="16"/>
        <v>15.32</v>
      </c>
      <c r="M40" s="18">
        <f t="shared" si="17"/>
        <v>7.66</v>
      </c>
      <c r="N40" s="18">
        <f>MATRIZ!$I$382</f>
        <v>2.87</v>
      </c>
      <c r="O40" s="119">
        <f t="shared" si="18"/>
        <v>362.92</v>
      </c>
    </row>
    <row r="41" spans="2:15" ht="18" customHeight="1" x14ac:dyDescent="0.25">
      <c r="B41" s="18" t="s">
        <v>174</v>
      </c>
      <c r="C41" s="4">
        <f>MATRIZ!C249</f>
        <v>5209.88</v>
      </c>
      <c r="D41" s="4" t="s">
        <v>11</v>
      </c>
      <c r="E41" s="4">
        <f>MATRIZ!F249</f>
        <v>6512.36</v>
      </c>
      <c r="F41" s="247" t="s">
        <v>222</v>
      </c>
      <c r="G41" s="248">
        <f>MATRIZ!I249</f>
        <v>319.23</v>
      </c>
      <c r="H41" s="18">
        <f t="shared" si="7"/>
        <v>6.38</v>
      </c>
      <c r="I41" s="18">
        <f t="shared" si="13"/>
        <v>63.84</v>
      </c>
      <c r="J41" s="18">
        <f t="shared" si="14"/>
        <v>15.96</v>
      </c>
      <c r="K41" s="18">
        <f t="shared" si="15"/>
        <v>15.96</v>
      </c>
      <c r="L41" s="18">
        <f t="shared" si="16"/>
        <v>19.149999999999999</v>
      </c>
      <c r="M41" s="18">
        <f t="shared" si="17"/>
        <v>9.57</v>
      </c>
      <c r="N41" s="18">
        <f>MATRIZ!$I$382</f>
        <v>2.87</v>
      </c>
      <c r="O41" s="119">
        <f t="shared" si="18"/>
        <v>452.96</v>
      </c>
    </row>
    <row r="42" spans="2:15" ht="18" customHeight="1" x14ac:dyDescent="0.25">
      <c r="B42" s="18" t="s">
        <v>175</v>
      </c>
      <c r="C42" s="4">
        <f>MATRIZ!C250</f>
        <v>6512.37</v>
      </c>
      <c r="D42" s="4" t="s">
        <v>11</v>
      </c>
      <c r="E42" s="4">
        <f>MATRIZ!F250</f>
        <v>8140.47</v>
      </c>
      <c r="F42" s="247" t="s">
        <v>222</v>
      </c>
      <c r="G42" s="248">
        <f>MATRIZ!I250</f>
        <v>399.04</v>
      </c>
      <c r="H42" s="18">
        <f t="shared" si="7"/>
        <v>7.98</v>
      </c>
      <c r="I42" s="18">
        <f t="shared" si="13"/>
        <v>79.8</v>
      </c>
      <c r="J42" s="18">
        <f t="shared" si="14"/>
        <v>19.95</v>
      </c>
      <c r="K42" s="18">
        <f t="shared" si="15"/>
        <v>19.95</v>
      </c>
      <c r="L42" s="18">
        <f t="shared" si="16"/>
        <v>23.94</v>
      </c>
      <c r="M42" s="18">
        <f t="shared" si="17"/>
        <v>11.97</v>
      </c>
      <c r="N42" s="18">
        <f>MATRIZ!$I$382</f>
        <v>2.87</v>
      </c>
      <c r="O42" s="119">
        <f t="shared" si="18"/>
        <v>565.50000000000011</v>
      </c>
    </row>
    <row r="43" spans="2:15" ht="18" customHeight="1" x14ac:dyDescent="0.25">
      <c r="B43" s="18" t="s">
        <v>176</v>
      </c>
      <c r="C43" s="4">
        <f>MATRIZ!C251</f>
        <v>8140.4800000000005</v>
      </c>
      <c r="D43" s="4" t="s">
        <v>11</v>
      </c>
      <c r="E43" s="4">
        <f>MATRIZ!F251</f>
        <v>16802.990000000002</v>
      </c>
      <c r="F43" s="247" t="s">
        <v>222</v>
      </c>
      <c r="G43" s="248">
        <f>MATRIZ!I251</f>
        <v>470.5</v>
      </c>
      <c r="H43" s="18">
        <f t="shared" si="7"/>
        <v>9.41</v>
      </c>
      <c r="I43" s="18">
        <f t="shared" si="13"/>
        <v>94.1</v>
      </c>
      <c r="J43" s="18">
        <f t="shared" si="14"/>
        <v>23.52</v>
      </c>
      <c r="K43" s="18">
        <f t="shared" si="15"/>
        <v>23.52</v>
      </c>
      <c r="L43" s="18">
        <f t="shared" si="16"/>
        <v>28.23</v>
      </c>
      <c r="M43" s="18">
        <f t="shared" si="17"/>
        <v>14.11</v>
      </c>
      <c r="N43" s="18">
        <f>MATRIZ!$I$382</f>
        <v>2.87</v>
      </c>
      <c r="O43" s="119">
        <f t="shared" si="18"/>
        <v>666.26</v>
      </c>
    </row>
    <row r="44" spans="2:15" ht="18" customHeight="1" x14ac:dyDescent="0.25">
      <c r="B44" s="18" t="s">
        <v>177</v>
      </c>
      <c r="C44" s="4">
        <f>MATRIZ!C252</f>
        <v>16803</v>
      </c>
      <c r="D44" s="4" t="s">
        <v>11</v>
      </c>
      <c r="E44" s="4">
        <f>MATRIZ!F252</f>
        <v>28601.46</v>
      </c>
      <c r="F44" s="247" t="s">
        <v>222</v>
      </c>
      <c r="G44" s="248">
        <f>MATRIZ!I252</f>
        <v>510.53</v>
      </c>
      <c r="H44" s="18">
        <f t="shared" si="7"/>
        <v>10.210000000000001</v>
      </c>
      <c r="I44" s="18">
        <f t="shared" si="13"/>
        <v>102.1</v>
      </c>
      <c r="J44" s="18">
        <f t="shared" si="14"/>
        <v>25.52</v>
      </c>
      <c r="K44" s="18">
        <f t="shared" si="15"/>
        <v>25.52</v>
      </c>
      <c r="L44" s="18">
        <f t="shared" si="16"/>
        <v>30.63</v>
      </c>
      <c r="M44" s="18">
        <f t="shared" si="17"/>
        <v>15.31</v>
      </c>
      <c r="N44" s="18">
        <f>MATRIZ!$I$382</f>
        <v>2.87</v>
      </c>
      <c r="O44" s="119">
        <f t="shared" si="18"/>
        <v>722.68999999999994</v>
      </c>
    </row>
    <row r="45" spans="2:15" ht="18" customHeight="1" x14ac:dyDescent="0.25">
      <c r="B45" s="120" t="s">
        <v>178</v>
      </c>
      <c r="C45" s="458" t="s">
        <v>253</v>
      </c>
      <c r="D45" s="458"/>
      <c r="E45" s="458">
        <f>+E44+0.01</f>
        <v>28601.469999999998</v>
      </c>
      <c r="F45" s="459" t="s">
        <v>222</v>
      </c>
      <c r="G45" s="448">
        <f>MATRIZ!I253</f>
        <v>764.85</v>
      </c>
      <c r="H45" s="120">
        <f t="shared" si="7"/>
        <v>15.29</v>
      </c>
      <c r="I45" s="120">
        <f t="shared" si="13"/>
        <v>152.97</v>
      </c>
      <c r="J45" s="120">
        <f t="shared" si="14"/>
        <v>38.24</v>
      </c>
      <c r="K45" s="120">
        <f t="shared" si="15"/>
        <v>38.24</v>
      </c>
      <c r="L45" s="120">
        <f t="shared" si="16"/>
        <v>45.89</v>
      </c>
      <c r="M45" s="120">
        <f t="shared" si="17"/>
        <v>22.94</v>
      </c>
      <c r="N45" s="120">
        <f>MATRIZ!$I$382</f>
        <v>2.87</v>
      </c>
      <c r="O45" s="460">
        <f t="shared" si="18"/>
        <v>1081.29</v>
      </c>
    </row>
    <row r="46" spans="2:15" ht="11.25" customHeight="1" x14ac:dyDescent="0.25">
      <c r="B46" s="4"/>
      <c r="C46" s="4"/>
      <c r="D46" s="4"/>
      <c r="E46" s="4"/>
      <c r="F46" s="122"/>
      <c r="G46" s="101"/>
      <c r="H46" s="4"/>
      <c r="I46" s="4"/>
      <c r="J46" s="4"/>
      <c r="K46" s="4"/>
      <c r="L46" s="4"/>
      <c r="M46" s="4"/>
      <c r="N46" s="4"/>
      <c r="O46" s="123"/>
    </row>
    <row r="47" spans="2:15" ht="20.25" customHeight="1" x14ac:dyDescent="0.2">
      <c r="B47" s="802" t="s">
        <v>517</v>
      </c>
      <c r="C47" s="802"/>
      <c r="D47" s="802"/>
      <c r="E47" s="802"/>
      <c r="F47" s="802"/>
      <c r="G47" s="802"/>
      <c r="H47" s="802"/>
      <c r="I47" s="802"/>
      <c r="J47" s="802"/>
      <c r="K47" s="802"/>
      <c r="L47" s="802"/>
      <c r="M47" s="802"/>
      <c r="N47" s="802"/>
      <c r="O47" s="802"/>
    </row>
    <row r="48" spans="2:15" ht="16.5" customHeight="1" x14ac:dyDescent="0.2">
      <c r="B48" s="984" t="s">
        <v>216</v>
      </c>
      <c r="C48" s="984"/>
      <c r="D48" s="984"/>
      <c r="E48" s="984"/>
      <c r="F48" s="978" t="s">
        <v>45</v>
      </c>
      <c r="G48" s="311" t="s">
        <v>522</v>
      </c>
      <c r="H48" s="978" t="s">
        <v>165</v>
      </c>
      <c r="I48" s="978" t="s">
        <v>218</v>
      </c>
      <c r="J48" s="978" t="s">
        <v>219</v>
      </c>
      <c r="K48" s="978" t="s">
        <v>4</v>
      </c>
      <c r="L48" s="978" t="s">
        <v>637</v>
      </c>
      <c r="M48" s="978" t="s">
        <v>5</v>
      </c>
      <c r="N48" s="978" t="s">
        <v>220</v>
      </c>
      <c r="O48" s="978" t="s">
        <v>7</v>
      </c>
    </row>
    <row r="49" spans="2:21" ht="17.25" customHeight="1" x14ac:dyDescent="0.2">
      <c r="B49" s="984"/>
      <c r="C49" s="984"/>
      <c r="D49" s="984"/>
      <c r="E49" s="984"/>
      <c r="F49" s="978"/>
      <c r="G49" s="311" t="s">
        <v>523</v>
      </c>
      <c r="H49" s="978"/>
      <c r="I49" s="978"/>
      <c r="J49" s="978"/>
      <c r="K49" s="978"/>
      <c r="L49" s="978"/>
      <c r="M49" s="978"/>
      <c r="N49" s="978"/>
      <c r="O49" s="978"/>
    </row>
    <row r="50" spans="2:21" ht="15" customHeight="1" x14ac:dyDescent="0.25">
      <c r="B50" s="18" t="s">
        <v>166</v>
      </c>
      <c r="C50" s="4">
        <v>0.01</v>
      </c>
      <c r="D50" s="4" t="s">
        <v>11</v>
      </c>
      <c r="E50" s="488">
        <v>50</v>
      </c>
      <c r="F50" s="248">
        <f>MATRIZ!I268</f>
        <v>19.190000000000001</v>
      </c>
      <c r="G50" s="248">
        <f>MATRIZ!$I$264</f>
        <v>65.319999999999993</v>
      </c>
      <c r="H50" s="102">
        <f>TRUNC(SUM(F50:G50)*2%,2)</f>
        <v>1.69</v>
      </c>
      <c r="I50" s="102">
        <f>TRUNC(SUM(F50:G50)*20%,2)</f>
        <v>16.899999999999999</v>
      </c>
      <c r="J50" s="102">
        <f>TRUNC(SUM(F50:G50)*5%,2)</f>
        <v>4.22</v>
      </c>
      <c r="K50" s="102">
        <f>TRUNC(SUM(F50:G50)*5%,2)</f>
        <v>4.22</v>
      </c>
      <c r="L50" s="102">
        <f>TRUNC(SUM(F50:G50)*6%,2)</f>
        <v>5.07</v>
      </c>
      <c r="M50" s="102">
        <f>TRUNC(SUM(F50:G50)*3%,2)</f>
        <v>2.5299999999999998</v>
      </c>
      <c r="N50" s="18">
        <f>MATRIZ!$I$382</f>
        <v>2.87</v>
      </c>
      <c r="O50" s="119">
        <f>SUM(F50:N50)-0.06</f>
        <v>121.94999999999999</v>
      </c>
      <c r="P50" s="59"/>
      <c r="Q50" s="665"/>
    </row>
    <row r="51" spans="2:21" ht="15" customHeight="1" x14ac:dyDescent="0.25">
      <c r="B51" s="18" t="s">
        <v>12</v>
      </c>
      <c r="C51" s="4">
        <f>E50+0.01</f>
        <v>50.01</v>
      </c>
      <c r="D51" s="4" t="s">
        <v>11</v>
      </c>
      <c r="E51" s="488">
        <v>100</v>
      </c>
      <c r="F51" s="248">
        <f>MATRIZ!I269</f>
        <v>38.630000000000003</v>
      </c>
      <c r="G51" s="248">
        <f>MATRIZ!$I$264</f>
        <v>65.319999999999993</v>
      </c>
      <c r="H51" s="102">
        <f t="shared" ref="H51:H75" si="19">TRUNC(SUM(F51:G51)*2%,2)</f>
        <v>2.0699999999999998</v>
      </c>
      <c r="I51" s="102">
        <f t="shared" ref="I51:I75" si="20">TRUNC(SUM(F51:G51)*20%,2)</f>
        <v>20.79</v>
      </c>
      <c r="J51" s="102">
        <f t="shared" ref="J51:J75" si="21">TRUNC(SUM(F51:G51)*5%,2)</f>
        <v>5.19</v>
      </c>
      <c r="K51" s="102">
        <f t="shared" ref="K51:K75" si="22">TRUNC(SUM(F51:G51)*5%,2)</f>
        <v>5.19</v>
      </c>
      <c r="L51" s="102">
        <f t="shared" ref="L51:L75" si="23">TRUNC(SUM(F51:G51)*6%,2)</f>
        <v>6.23</v>
      </c>
      <c r="M51" s="102">
        <f t="shared" ref="M51:M75" si="24">TRUNC(SUM(F51:G51)*3%,2)</f>
        <v>3.11</v>
      </c>
      <c r="N51" s="18">
        <f>MATRIZ!$I$382</f>
        <v>2.87</v>
      </c>
      <c r="O51" s="119">
        <f>SUM(F51:N51)-0.03</f>
        <v>149.36999999999998</v>
      </c>
    </row>
    <row r="52" spans="2:21" ht="15" customHeight="1" x14ac:dyDescent="0.25">
      <c r="B52" s="18" t="s">
        <v>13</v>
      </c>
      <c r="C52" s="4">
        <f t="shared" ref="C52:C74" si="25">E51+0.01</f>
        <v>100.01</v>
      </c>
      <c r="D52" s="4" t="s">
        <v>11</v>
      </c>
      <c r="E52" s="488">
        <v>150</v>
      </c>
      <c r="F52" s="248">
        <f>MATRIZ!I270</f>
        <v>57.91</v>
      </c>
      <c r="G52" s="248">
        <f>MATRIZ!$I$264</f>
        <v>65.319999999999993</v>
      </c>
      <c r="H52" s="102">
        <f t="shared" si="19"/>
        <v>2.46</v>
      </c>
      <c r="I52" s="102">
        <f t="shared" si="20"/>
        <v>24.64</v>
      </c>
      <c r="J52" s="102">
        <f t="shared" si="21"/>
        <v>6.16</v>
      </c>
      <c r="K52" s="102">
        <f t="shared" si="22"/>
        <v>6.16</v>
      </c>
      <c r="L52" s="102">
        <f t="shared" si="23"/>
        <v>7.39</v>
      </c>
      <c r="M52" s="102">
        <f t="shared" si="24"/>
        <v>3.69</v>
      </c>
      <c r="N52" s="18">
        <f>MATRIZ!$I$382</f>
        <v>2.87</v>
      </c>
      <c r="O52" s="119">
        <f>SUM(F52:N52)-0.05</f>
        <v>176.54999999999995</v>
      </c>
      <c r="Q52" s="22"/>
    </row>
    <row r="53" spans="2:21" ht="15" customHeight="1" x14ac:dyDescent="0.25">
      <c r="B53" s="18" t="s">
        <v>14</v>
      </c>
      <c r="C53" s="4">
        <f t="shared" si="25"/>
        <v>150.01</v>
      </c>
      <c r="D53" s="4" t="s">
        <v>11</v>
      </c>
      <c r="E53" s="488">
        <v>200</v>
      </c>
      <c r="F53" s="248">
        <f>MATRIZ!I271</f>
        <v>77.37</v>
      </c>
      <c r="G53" s="248">
        <f>MATRIZ!$I$264</f>
        <v>65.319999999999993</v>
      </c>
      <c r="H53" s="102">
        <f t="shared" si="19"/>
        <v>2.85</v>
      </c>
      <c r="I53" s="102">
        <f t="shared" si="20"/>
        <v>28.53</v>
      </c>
      <c r="J53" s="102">
        <f t="shared" si="21"/>
        <v>7.13</v>
      </c>
      <c r="K53" s="102">
        <f t="shared" si="22"/>
        <v>7.13</v>
      </c>
      <c r="L53" s="102">
        <f t="shared" si="23"/>
        <v>8.56</v>
      </c>
      <c r="M53" s="102">
        <f t="shared" si="24"/>
        <v>4.28</v>
      </c>
      <c r="N53" s="18">
        <f>MATRIZ!$I$382</f>
        <v>2.87</v>
      </c>
      <c r="O53" s="119">
        <f>SUM(F53:N53)-0.05</f>
        <v>203.98999999999998</v>
      </c>
    </row>
    <row r="54" spans="2:21" ht="15" customHeight="1" x14ac:dyDescent="0.25">
      <c r="B54" s="18" t="s">
        <v>15</v>
      </c>
      <c r="C54" s="4">
        <f t="shared" si="25"/>
        <v>200.01</v>
      </c>
      <c r="D54" s="4" t="s">
        <v>11</v>
      </c>
      <c r="E54" s="488">
        <v>250</v>
      </c>
      <c r="F54" s="248">
        <f>MATRIZ!I272</f>
        <v>96.68</v>
      </c>
      <c r="G54" s="248">
        <f>MATRIZ!$I$264</f>
        <v>65.319999999999993</v>
      </c>
      <c r="H54" s="102">
        <f t="shared" si="19"/>
        <v>3.24</v>
      </c>
      <c r="I54" s="102">
        <f t="shared" si="20"/>
        <v>32.4</v>
      </c>
      <c r="J54" s="102">
        <f t="shared" si="21"/>
        <v>8.1</v>
      </c>
      <c r="K54" s="102">
        <f t="shared" si="22"/>
        <v>8.1</v>
      </c>
      <c r="L54" s="102">
        <f t="shared" si="23"/>
        <v>9.7200000000000006</v>
      </c>
      <c r="M54" s="102">
        <f t="shared" si="24"/>
        <v>4.8600000000000003</v>
      </c>
      <c r="N54" s="18">
        <f>MATRIZ!$I$382</f>
        <v>2.87</v>
      </c>
      <c r="O54" s="119">
        <f>SUM(F54:N54)-0.06</f>
        <v>231.23000000000002</v>
      </c>
    </row>
    <row r="55" spans="2:21" ht="15" customHeight="1" x14ac:dyDescent="0.25">
      <c r="B55" s="18" t="s">
        <v>16</v>
      </c>
      <c r="C55" s="4">
        <f t="shared" si="25"/>
        <v>250.01</v>
      </c>
      <c r="D55" s="4" t="s">
        <v>11</v>
      </c>
      <c r="E55" s="488">
        <v>300</v>
      </c>
      <c r="F55" s="248">
        <f>MATRIZ!I273</f>
        <v>115.95</v>
      </c>
      <c r="G55" s="248">
        <f>MATRIZ!$I$264</f>
        <v>65.319999999999993</v>
      </c>
      <c r="H55" s="102">
        <f t="shared" si="19"/>
        <v>3.62</v>
      </c>
      <c r="I55" s="102">
        <f t="shared" si="20"/>
        <v>36.25</v>
      </c>
      <c r="J55" s="102">
        <f t="shared" si="21"/>
        <v>9.06</v>
      </c>
      <c r="K55" s="102">
        <f t="shared" si="22"/>
        <v>9.06</v>
      </c>
      <c r="L55" s="102">
        <f t="shared" si="23"/>
        <v>10.87</v>
      </c>
      <c r="M55" s="102">
        <f t="shared" si="24"/>
        <v>5.43</v>
      </c>
      <c r="N55" s="18">
        <f>MATRIZ!$I$382</f>
        <v>2.87</v>
      </c>
      <c r="O55" s="119">
        <f>SUM(F55:N55)-0.05</f>
        <v>258.38</v>
      </c>
      <c r="R55" s="22"/>
    </row>
    <row r="56" spans="2:21" ht="15" customHeight="1" x14ac:dyDescent="0.25">
      <c r="B56" s="18" t="s">
        <v>17</v>
      </c>
      <c r="C56" s="4">
        <f t="shared" si="25"/>
        <v>300.01</v>
      </c>
      <c r="D56" s="4" t="s">
        <v>11</v>
      </c>
      <c r="E56" s="488">
        <v>350</v>
      </c>
      <c r="F56" s="248">
        <f>MATRIZ!I274</f>
        <v>135.43</v>
      </c>
      <c r="G56" s="248">
        <f>MATRIZ!$I$264</f>
        <v>65.319999999999993</v>
      </c>
      <c r="H56" s="102">
        <f t="shared" si="19"/>
        <v>4.01</v>
      </c>
      <c r="I56" s="102">
        <f t="shared" si="20"/>
        <v>40.15</v>
      </c>
      <c r="J56" s="102">
        <f t="shared" si="21"/>
        <v>10.029999999999999</v>
      </c>
      <c r="K56" s="102">
        <f t="shared" si="22"/>
        <v>10.029999999999999</v>
      </c>
      <c r="L56" s="102">
        <f t="shared" si="23"/>
        <v>12.04</v>
      </c>
      <c r="M56" s="102">
        <f t="shared" si="24"/>
        <v>6.02</v>
      </c>
      <c r="N56" s="18">
        <f>MATRIZ!$I$382</f>
        <v>2.87</v>
      </c>
      <c r="O56" s="119">
        <f>SUM(F56:N56)-0.04</f>
        <v>285.85999999999996</v>
      </c>
    </row>
    <row r="57" spans="2:21" ht="15" customHeight="1" x14ac:dyDescent="0.25">
      <c r="B57" s="18" t="s">
        <v>167</v>
      </c>
      <c r="C57" s="4">
        <f t="shared" si="25"/>
        <v>350.01</v>
      </c>
      <c r="D57" s="4" t="s">
        <v>11</v>
      </c>
      <c r="E57" s="488">
        <v>400</v>
      </c>
      <c r="F57" s="248">
        <f>MATRIZ!I275</f>
        <v>154.72</v>
      </c>
      <c r="G57" s="248">
        <f>MATRIZ!$I$264</f>
        <v>65.319999999999993</v>
      </c>
      <c r="H57" s="102">
        <f t="shared" si="19"/>
        <v>4.4000000000000004</v>
      </c>
      <c r="I57" s="102">
        <f t="shared" si="20"/>
        <v>44</v>
      </c>
      <c r="J57" s="102">
        <f t="shared" si="21"/>
        <v>11</v>
      </c>
      <c r="K57" s="102">
        <f t="shared" si="22"/>
        <v>11</v>
      </c>
      <c r="L57" s="102">
        <f t="shared" si="23"/>
        <v>13.2</v>
      </c>
      <c r="M57" s="102">
        <f t="shared" si="24"/>
        <v>6.6</v>
      </c>
      <c r="N57" s="18">
        <f>MATRIZ!$I$382</f>
        <v>2.87</v>
      </c>
      <c r="O57" s="119">
        <f>SUM(F57:N57)-0.05</f>
        <v>313.06</v>
      </c>
    </row>
    <row r="58" spans="2:21" ht="15" customHeight="1" x14ac:dyDescent="0.25">
      <c r="B58" s="18" t="s">
        <v>168</v>
      </c>
      <c r="C58" s="4">
        <f t="shared" si="25"/>
        <v>400.01</v>
      </c>
      <c r="D58" s="4" t="s">
        <v>11</v>
      </c>
      <c r="E58" s="488">
        <v>450</v>
      </c>
      <c r="F58" s="248">
        <f>MATRIZ!I276</f>
        <v>174.02</v>
      </c>
      <c r="G58" s="248">
        <f>MATRIZ!$I$264</f>
        <v>65.319999999999993</v>
      </c>
      <c r="H58" s="102">
        <f t="shared" si="19"/>
        <v>4.78</v>
      </c>
      <c r="I58" s="102">
        <f t="shared" si="20"/>
        <v>47.86</v>
      </c>
      <c r="J58" s="102">
        <f t="shared" si="21"/>
        <v>11.96</v>
      </c>
      <c r="K58" s="102">
        <f t="shared" si="22"/>
        <v>11.96</v>
      </c>
      <c r="L58" s="102">
        <f t="shared" si="23"/>
        <v>14.36</v>
      </c>
      <c r="M58" s="102">
        <f t="shared" si="24"/>
        <v>7.18</v>
      </c>
      <c r="N58" s="18">
        <f>MATRIZ!$I$382</f>
        <v>2.87</v>
      </c>
      <c r="O58" s="119">
        <f>SUM(F58:N58)-0.02</f>
        <v>340.29</v>
      </c>
    </row>
    <row r="59" spans="2:21" ht="15" customHeight="1" x14ac:dyDescent="0.25">
      <c r="B59" s="18" t="s">
        <v>169</v>
      </c>
      <c r="C59" s="4">
        <f t="shared" si="25"/>
        <v>450.01</v>
      </c>
      <c r="D59" s="4" t="s">
        <v>11</v>
      </c>
      <c r="E59" s="488">
        <v>500</v>
      </c>
      <c r="F59" s="248">
        <f>MATRIZ!I277</f>
        <v>193.45</v>
      </c>
      <c r="G59" s="248">
        <f>MATRIZ!$I$264</f>
        <v>65.319999999999993</v>
      </c>
      <c r="H59" s="102">
        <f t="shared" si="19"/>
        <v>5.17</v>
      </c>
      <c r="I59" s="102">
        <f t="shared" si="20"/>
        <v>51.75</v>
      </c>
      <c r="J59" s="102">
        <f t="shared" si="21"/>
        <v>12.93</v>
      </c>
      <c r="K59" s="102">
        <f t="shared" si="22"/>
        <v>12.93</v>
      </c>
      <c r="L59" s="102">
        <f t="shared" si="23"/>
        <v>15.52</v>
      </c>
      <c r="M59" s="102">
        <f t="shared" si="24"/>
        <v>7.76</v>
      </c>
      <c r="N59" s="18">
        <f>MATRIZ!$I$382</f>
        <v>2.87</v>
      </c>
      <c r="O59" s="119">
        <f>SUM(F59:N59)-0.03</f>
        <v>367.67</v>
      </c>
    </row>
    <row r="60" spans="2:21" ht="15" customHeight="1" x14ac:dyDescent="0.25">
      <c r="B60" s="18" t="s">
        <v>170</v>
      </c>
      <c r="C60" s="4">
        <f t="shared" si="25"/>
        <v>500.01</v>
      </c>
      <c r="D60" s="4" t="s">
        <v>11</v>
      </c>
      <c r="E60" s="488">
        <v>600</v>
      </c>
      <c r="F60" s="248">
        <f>MATRIZ!I278</f>
        <v>232.22</v>
      </c>
      <c r="G60" s="248">
        <f>MATRIZ!$I$264</f>
        <v>65.319999999999993</v>
      </c>
      <c r="H60" s="102">
        <f t="shared" si="19"/>
        <v>5.95</v>
      </c>
      <c r="I60" s="102">
        <f t="shared" si="20"/>
        <v>59.5</v>
      </c>
      <c r="J60" s="102">
        <f t="shared" si="21"/>
        <v>14.87</v>
      </c>
      <c r="K60" s="102">
        <f t="shared" si="22"/>
        <v>14.87</v>
      </c>
      <c r="L60" s="102">
        <f t="shared" si="23"/>
        <v>17.850000000000001</v>
      </c>
      <c r="M60" s="102">
        <f t="shared" si="24"/>
        <v>8.92</v>
      </c>
      <c r="N60" s="18">
        <f>MATRIZ!$I$382</f>
        <v>2.87</v>
      </c>
      <c r="O60" s="119">
        <f>SUM(F60:N60)-0.03</f>
        <v>422.34000000000003</v>
      </c>
      <c r="U60" s="666"/>
    </row>
    <row r="61" spans="2:21" ht="15" customHeight="1" x14ac:dyDescent="0.25">
      <c r="B61" s="18" t="s">
        <v>171</v>
      </c>
      <c r="C61" s="4">
        <f t="shared" si="25"/>
        <v>600.01</v>
      </c>
      <c r="D61" s="4" t="s">
        <v>11</v>
      </c>
      <c r="E61" s="488">
        <v>700</v>
      </c>
      <c r="F61" s="248">
        <f>MATRIZ!I279</f>
        <v>270.97000000000003</v>
      </c>
      <c r="G61" s="248">
        <f>MATRIZ!$I$264</f>
        <v>65.319999999999993</v>
      </c>
      <c r="H61" s="102">
        <f t="shared" si="19"/>
        <v>6.72</v>
      </c>
      <c r="I61" s="102">
        <f t="shared" si="20"/>
        <v>67.25</v>
      </c>
      <c r="J61" s="102">
        <f t="shared" si="21"/>
        <v>16.809999999999999</v>
      </c>
      <c r="K61" s="102">
        <f t="shared" si="22"/>
        <v>16.809999999999999</v>
      </c>
      <c r="L61" s="102">
        <f t="shared" si="23"/>
        <v>20.170000000000002</v>
      </c>
      <c r="M61" s="102">
        <f t="shared" si="24"/>
        <v>10.08</v>
      </c>
      <c r="N61" s="18">
        <f>MATRIZ!$I$382</f>
        <v>2.87</v>
      </c>
      <c r="O61" s="119">
        <f>SUM(F61:N61)-0.05</f>
        <v>476.95000000000005</v>
      </c>
      <c r="U61" s="666"/>
    </row>
    <row r="62" spans="2:21" ht="15" customHeight="1" x14ac:dyDescent="0.25">
      <c r="B62" s="18" t="s">
        <v>172</v>
      </c>
      <c r="C62" s="4">
        <f t="shared" si="25"/>
        <v>700.01</v>
      </c>
      <c r="D62" s="4" t="s">
        <v>11</v>
      </c>
      <c r="E62" s="488">
        <v>800</v>
      </c>
      <c r="F62" s="248">
        <f>MATRIZ!I280</f>
        <v>309.58</v>
      </c>
      <c r="G62" s="248">
        <f>MATRIZ!$I$264</f>
        <v>65.319999999999993</v>
      </c>
      <c r="H62" s="102">
        <f t="shared" si="19"/>
        <v>7.49</v>
      </c>
      <c r="I62" s="102">
        <f t="shared" si="20"/>
        <v>74.98</v>
      </c>
      <c r="J62" s="102">
        <f t="shared" si="21"/>
        <v>18.739999999999998</v>
      </c>
      <c r="K62" s="102">
        <f t="shared" si="22"/>
        <v>18.739999999999998</v>
      </c>
      <c r="L62" s="102">
        <f t="shared" si="23"/>
        <v>22.49</v>
      </c>
      <c r="M62" s="102">
        <f t="shared" si="24"/>
        <v>11.24</v>
      </c>
      <c r="N62" s="18">
        <f>MATRIZ!$I$382</f>
        <v>2.87</v>
      </c>
      <c r="O62" s="119">
        <f>SUM(F62:N62)-0.05</f>
        <v>531.40000000000009</v>
      </c>
    </row>
    <row r="63" spans="2:21" ht="15" customHeight="1" x14ac:dyDescent="0.25">
      <c r="B63" s="18" t="s">
        <v>173</v>
      </c>
      <c r="C63" s="4">
        <f t="shared" si="25"/>
        <v>800.01</v>
      </c>
      <c r="D63" s="4" t="s">
        <v>11</v>
      </c>
      <c r="E63" s="488">
        <v>900</v>
      </c>
      <c r="F63" s="248">
        <f>MATRIZ!I281</f>
        <v>348.32</v>
      </c>
      <c r="G63" s="248">
        <f>MATRIZ!$I$264</f>
        <v>65.319999999999993</v>
      </c>
      <c r="H63" s="102">
        <f t="shared" si="19"/>
        <v>8.27</v>
      </c>
      <c r="I63" s="102">
        <f t="shared" si="20"/>
        <v>82.72</v>
      </c>
      <c r="J63" s="102">
        <f t="shared" si="21"/>
        <v>20.68</v>
      </c>
      <c r="K63" s="102">
        <f t="shared" si="22"/>
        <v>20.68</v>
      </c>
      <c r="L63" s="102">
        <f t="shared" si="23"/>
        <v>24.81</v>
      </c>
      <c r="M63" s="102">
        <f t="shared" si="24"/>
        <v>12.4</v>
      </c>
      <c r="N63" s="18">
        <f>MATRIZ!$I$382</f>
        <v>2.87</v>
      </c>
      <c r="O63" s="119">
        <f>SUM(F63:N63)-0.05</f>
        <v>586.01999999999987</v>
      </c>
    </row>
    <row r="64" spans="2:21" ht="15" customHeight="1" x14ac:dyDescent="0.25">
      <c r="B64" s="18" t="s">
        <v>174</v>
      </c>
      <c r="C64" s="4">
        <f t="shared" si="25"/>
        <v>900.01</v>
      </c>
      <c r="D64" s="4" t="s">
        <v>11</v>
      </c>
      <c r="E64" s="488">
        <v>1000</v>
      </c>
      <c r="F64" s="248">
        <f>MATRIZ!I282</f>
        <v>387.05</v>
      </c>
      <c r="G64" s="248">
        <f>MATRIZ!$I$264</f>
        <v>65.319999999999993</v>
      </c>
      <c r="H64" s="102">
        <f t="shared" si="19"/>
        <v>9.0399999999999991</v>
      </c>
      <c r="I64" s="102">
        <f t="shared" si="20"/>
        <v>90.47</v>
      </c>
      <c r="J64" s="102">
        <f t="shared" si="21"/>
        <v>22.61</v>
      </c>
      <c r="K64" s="102">
        <f t="shared" si="22"/>
        <v>22.61</v>
      </c>
      <c r="L64" s="102">
        <f t="shared" si="23"/>
        <v>27.14</v>
      </c>
      <c r="M64" s="102">
        <f t="shared" si="24"/>
        <v>13.57</v>
      </c>
      <c r="N64" s="18">
        <f>MATRIZ!$I$382</f>
        <v>2.87</v>
      </c>
      <c r="O64" s="119">
        <f>SUM(F64:N64)-0.02</f>
        <v>640.66000000000008</v>
      </c>
    </row>
    <row r="65" spans="2:15" ht="15" customHeight="1" x14ac:dyDescent="0.25">
      <c r="B65" s="18" t="s">
        <v>175</v>
      </c>
      <c r="C65" s="4">
        <f t="shared" si="25"/>
        <v>1000.01</v>
      </c>
      <c r="D65" s="4" t="s">
        <v>11</v>
      </c>
      <c r="E65" s="488">
        <v>1500</v>
      </c>
      <c r="F65" s="248">
        <f>MATRIZ!I283</f>
        <v>435.32</v>
      </c>
      <c r="G65" s="248">
        <f>MATRIZ!$I$264</f>
        <v>65.319999999999993</v>
      </c>
      <c r="H65" s="102">
        <f t="shared" si="19"/>
        <v>10.01</v>
      </c>
      <c r="I65" s="102">
        <f t="shared" si="20"/>
        <v>100.12</v>
      </c>
      <c r="J65" s="102">
        <f t="shared" si="21"/>
        <v>25.03</v>
      </c>
      <c r="K65" s="102">
        <f t="shared" si="22"/>
        <v>25.03</v>
      </c>
      <c r="L65" s="102">
        <f t="shared" si="23"/>
        <v>30.03</v>
      </c>
      <c r="M65" s="102">
        <f t="shared" si="24"/>
        <v>15.01</v>
      </c>
      <c r="N65" s="18">
        <f>MATRIZ!$I$382</f>
        <v>2.87</v>
      </c>
      <c r="O65" s="119">
        <f>SUM(F65:N65)-0.05</f>
        <v>708.68999999999994</v>
      </c>
    </row>
    <row r="66" spans="2:15" ht="15" customHeight="1" x14ac:dyDescent="0.25">
      <c r="B66" s="18" t="s">
        <v>176</v>
      </c>
      <c r="C66" s="4">
        <f t="shared" si="25"/>
        <v>1500.01</v>
      </c>
      <c r="D66" s="4" t="s">
        <v>11</v>
      </c>
      <c r="E66" s="488">
        <v>2000</v>
      </c>
      <c r="F66" s="248">
        <f>MATRIZ!I284</f>
        <v>483.58</v>
      </c>
      <c r="G66" s="248">
        <f>MATRIZ!$I$264</f>
        <v>65.319999999999993</v>
      </c>
      <c r="H66" s="102">
        <f t="shared" si="19"/>
        <v>10.97</v>
      </c>
      <c r="I66" s="102">
        <f t="shared" si="20"/>
        <v>109.78</v>
      </c>
      <c r="J66" s="102">
        <f t="shared" si="21"/>
        <v>27.44</v>
      </c>
      <c r="K66" s="102">
        <f t="shared" si="22"/>
        <v>27.44</v>
      </c>
      <c r="L66" s="102">
        <f t="shared" si="23"/>
        <v>32.93</v>
      </c>
      <c r="M66" s="102">
        <f t="shared" si="24"/>
        <v>16.46</v>
      </c>
      <c r="N66" s="18">
        <f>MATRIZ!$I$382</f>
        <v>2.87</v>
      </c>
      <c r="O66" s="119">
        <f>SUM(F66:N66)-0.05</f>
        <v>776.74000000000012</v>
      </c>
    </row>
    <row r="67" spans="2:15" ht="15" customHeight="1" x14ac:dyDescent="0.25">
      <c r="B67" s="18" t="s">
        <v>177</v>
      </c>
      <c r="C67" s="4">
        <f t="shared" si="25"/>
        <v>2000.01</v>
      </c>
      <c r="D67" s="4" t="s">
        <v>11</v>
      </c>
      <c r="E67" s="488">
        <v>2500</v>
      </c>
      <c r="F67" s="248">
        <f>MATRIZ!I285</f>
        <v>531.82000000000005</v>
      </c>
      <c r="G67" s="248">
        <f>MATRIZ!$I$264</f>
        <v>65.319999999999993</v>
      </c>
      <c r="H67" s="102">
        <f t="shared" si="19"/>
        <v>11.94</v>
      </c>
      <c r="I67" s="102">
        <f t="shared" si="20"/>
        <v>119.42</v>
      </c>
      <c r="J67" s="102">
        <f t="shared" si="21"/>
        <v>29.85</v>
      </c>
      <c r="K67" s="102">
        <f t="shared" si="22"/>
        <v>29.85</v>
      </c>
      <c r="L67" s="102">
        <f t="shared" si="23"/>
        <v>35.82</v>
      </c>
      <c r="M67" s="102">
        <f t="shared" si="24"/>
        <v>17.91</v>
      </c>
      <c r="N67" s="18">
        <f>MATRIZ!$I$382</f>
        <v>2.87</v>
      </c>
      <c r="O67" s="119">
        <f>SUM(F67:N67)-0.03</f>
        <v>844.77000000000021</v>
      </c>
    </row>
    <row r="68" spans="2:15" ht="15" customHeight="1" x14ac:dyDescent="0.25">
      <c r="B68" s="18" t="s">
        <v>178</v>
      </c>
      <c r="C68" s="4">
        <f t="shared" si="25"/>
        <v>2500.0100000000002</v>
      </c>
      <c r="D68" s="4" t="s">
        <v>11</v>
      </c>
      <c r="E68" s="488">
        <v>3000</v>
      </c>
      <c r="F68" s="248">
        <f>MATRIZ!I286</f>
        <v>580.08000000000004</v>
      </c>
      <c r="G68" s="248">
        <f>MATRIZ!$I$264</f>
        <v>65.319999999999993</v>
      </c>
      <c r="H68" s="102">
        <f t="shared" si="19"/>
        <v>12.9</v>
      </c>
      <c r="I68" s="102">
        <f t="shared" si="20"/>
        <v>129.08000000000001</v>
      </c>
      <c r="J68" s="102">
        <f t="shared" si="21"/>
        <v>32.270000000000003</v>
      </c>
      <c r="K68" s="102">
        <f t="shared" si="22"/>
        <v>32.270000000000003</v>
      </c>
      <c r="L68" s="102">
        <f t="shared" si="23"/>
        <v>38.72</v>
      </c>
      <c r="M68" s="102">
        <f t="shared" si="24"/>
        <v>19.36</v>
      </c>
      <c r="N68" s="18">
        <f>MATRIZ!$I$382</f>
        <v>2.87</v>
      </c>
      <c r="O68" s="119">
        <f>SUM(F68:N68)-0.05</f>
        <v>912.82000000000016</v>
      </c>
    </row>
    <row r="69" spans="2:15" ht="15" customHeight="1" x14ac:dyDescent="0.25">
      <c r="B69" s="18" t="s">
        <v>179</v>
      </c>
      <c r="C69" s="4">
        <f t="shared" si="25"/>
        <v>3000.01</v>
      </c>
      <c r="D69" s="4" t="s">
        <v>11</v>
      </c>
      <c r="E69" s="488">
        <v>3500</v>
      </c>
      <c r="F69" s="248">
        <f>MATRIZ!I287</f>
        <v>628.38</v>
      </c>
      <c r="G69" s="248">
        <f>MATRIZ!$I$264</f>
        <v>65.319999999999993</v>
      </c>
      <c r="H69" s="102">
        <f t="shared" si="19"/>
        <v>13.87</v>
      </c>
      <c r="I69" s="102">
        <f t="shared" si="20"/>
        <v>138.74</v>
      </c>
      <c r="J69" s="102">
        <f t="shared" si="21"/>
        <v>34.68</v>
      </c>
      <c r="K69" s="102">
        <f t="shared" si="22"/>
        <v>34.68</v>
      </c>
      <c r="L69" s="102">
        <f t="shared" si="23"/>
        <v>41.62</v>
      </c>
      <c r="M69" s="102">
        <f t="shared" si="24"/>
        <v>20.81</v>
      </c>
      <c r="N69" s="18">
        <f>MATRIZ!$I$382</f>
        <v>2.87</v>
      </c>
      <c r="O69" s="119">
        <f>SUM(F69:N69)-0.06</f>
        <v>980.91</v>
      </c>
    </row>
    <row r="70" spans="2:15" ht="15" customHeight="1" x14ac:dyDescent="0.25">
      <c r="B70" s="18" t="s">
        <v>180</v>
      </c>
      <c r="C70" s="4">
        <f t="shared" si="25"/>
        <v>3500.01</v>
      </c>
      <c r="D70" s="4" t="s">
        <v>11</v>
      </c>
      <c r="E70" s="488">
        <v>4000</v>
      </c>
      <c r="F70" s="248">
        <f>MATRIZ!I288</f>
        <v>676.63</v>
      </c>
      <c r="G70" s="248">
        <f>MATRIZ!$I$264</f>
        <v>65.319999999999993</v>
      </c>
      <c r="H70" s="102">
        <f t="shared" si="19"/>
        <v>14.83</v>
      </c>
      <c r="I70" s="102">
        <f t="shared" si="20"/>
        <v>148.38999999999999</v>
      </c>
      <c r="J70" s="102">
        <f t="shared" si="21"/>
        <v>37.090000000000003</v>
      </c>
      <c r="K70" s="102">
        <f t="shared" si="22"/>
        <v>37.090000000000003</v>
      </c>
      <c r="L70" s="102">
        <f t="shared" si="23"/>
        <v>44.51</v>
      </c>
      <c r="M70" s="102">
        <f t="shared" si="24"/>
        <v>22.25</v>
      </c>
      <c r="N70" s="18">
        <f>MATRIZ!$I$382</f>
        <v>2.87</v>
      </c>
      <c r="O70" s="119">
        <f>SUM(F70:N70)-0.03</f>
        <v>1048.95</v>
      </c>
    </row>
    <row r="71" spans="2:15" ht="15" customHeight="1" x14ac:dyDescent="0.25">
      <c r="B71" s="18" t="s">
        <v>181</v>
      </c>
      <c r="C71" s="4">
        <f t="shared" si="25"/>
        <v>4000.01</v>
      </c>
      <c r="D71" s="4" t="s">
        <v>11</v>
      </c>
      <c r="E71" s="488">
        <v>4500</v>
      </c>
      <c r="F71" s="248">
        <f>MATRIZ!I289</f>
        <v>724.87</v>
      </c>
      <c r="G71" s="248">
        <f>MATRIZ!$I$264</f>
        <v>65.319999999999993</v>
      </c>
      <c r="H71" s="102">
        <f t="shared" si="19"/>
        <v>15.8</v>
      </c>
      <c r="I71" s="102">
        <f t="shared" si="20"/>
        <v>158.03</v>
      </c>
      <c r="J71" s="102">
        <f t="shared" si="21"/>
        <v>39.5</v>
      </c>
      <c r="K71" s="102">
        <f t="shared" si="22"/>
        <v>39.5</v>
      </c>
      <c r="L71" s="102">
        <f t="shared" si="23"/>
        <v>47.41</v>
      </c>
      <c r="M71" s="102">
        <f t="shared" si="24"/>
        <v>23.7</v>
      </c>
      <c r="N71" s="18">
        <f>MATRIZ!$I$382</f>
        <v>2.87</v>
      </c>
      <c r="O71" s="119">
        <f>SUM(F71:N71)-0.03</f>
        <v>1116.97</v>
      </c>
    </row>
    <row r="72" spans="2:15" ht="15" customHeight="1" x14ac:dyDescent="0.25">
      <c r="B72" s="18" t="s">
        <v>182</v>
      </c>
      <c r="C72" s="4">
        <f t="shared" si="25"/>
        <v>4500.01</v>
      </c>
      <c r="D72" s="4" t="s">
        <v>11</v>
      </c>
      <c r="E72" s="488">
        <v>5000</v>
      </c>
      <c r="F72" s="248">
        <f>MATRIZ!I290</f>
        <v>773.1</v>
      </c>
      <c r="G72" s="248">
        <f>MATRIZ!$I$264</f>
        <v>65.319999999999993</v>
      </c>
      <c r="H72" s="102">
        <f t="shared" si="19"/>
        <v>16.760000000000002</v>
      </c>
      <c r="I72" s="102">
        <f t="shared" si="20"/>
        <v>167.68</v>
      </c>
      <c r="J72" s="102">
        <f t="shared" si="21"/>
        <v>41.92</v>
      </c>
      <c r="K72" s="102">
        <f t="shared" si="22"/>
        <v>41.92</v>
      </c>
      <c r="L72" s="102">
        <f t="shared" si="23"/>
        <v>50.3</v>
      </c>
      <c r="M72" s="102">
        <f t="shared" si="24"/>
        <v>25.15</v>
      </c>
      <c r="N72" s="18">
        <f>MATRIZ!$I$382</f>
        <v>2.87</v>
      </c>
      <c r="O72" s="119">
        <f>SUM(F72:N72)-0.04</f>
        <v>1184.9800000000002</v>
      </c>
    </row>
    <row r="73" spans="2:15" ht="15" customHeight="1" x14ac:dyDescent="0.25">
      <c r="B73" s="18" t="s">
        <v>183</v>
      </c>
      <c r="C73" s="4">
        <f t="shared" si="25"/>
        <v>5000.01</v>
      </c>
      <c r="D73" s="4" t="s">
        <v>11</v>
      </c>
      <c r="E73" s="488">
        <v>7500</v>
      </c>
      <c r="F73" s="248">
        <f>MATRIZ!I291</f>
        <v>821.37</v>
      </c>
      <c r="G73" s="248">
        <f>MATRIZ!$I$264</f>
        <v>65.319999999999993</v>
      </c>
      <c r="H73" s="102">
        <f t="shared" si="19"/>
        <v>17.73</v>
      </c>
      <c r="I73" s="102">
        <f t="shared" si="20"/>
        <v>177.33</v>
      </c>
      <c r="J73" s="102">
        <f t="shared" si="21"/>
        <v>44.33</v>
      </c>
      <c r="K73" s="102">
        <f t="shared" si="22"/>
        <v>44.33</v>
      </c>
      <c r="L73" s="102">
        <f t="shared" si="23"/>
        <v>53.2</v>
      </c>
      <c r="M73" s="102">
        <f t="shared" si="24"/>
        <v>26.6</v>
      </c>
      <c r="N73" s="18">
        <f>MATRIZ!$I$382</f>
        <v>2.87</v>
      </c>
      <c r="O73" s="119">
        <f>SUM(F73:N73)-0.05</f>
        <v>1253.0299999999997</v>
      </c>
    </row>
    <row r="74" spans="2:15" ht="15" customHeight="1" x14ac:dyDescent="0.25">
      <c r="B74" s="18" t="s">
        <v>184</v>
      </c>
      <c r="C74" s="4">
        <f t="shared" si="25"/>
        <v>7500.01</v>
      </c>
      <c r="D74" s="4" t="s">
        <v>11</v>
      </c>
      <c r="E74" s="488">
        <v>10000</v>
      </c>
      <c r="F74" s="248">
        <f>MATRIZ!I292</f>
        <v>869.6</v>
      </c>
      <c r="G74" s="248">
        <f>MATRIZ!$I$264</f>
        <v>65.319999999999993</v>
      </c>
      <c r="H74" s="102">
        <f t="shared" si="19"/>
        <v>18.690000000000001</v>
      </c>
      <c r="I74" s="102">
        <f t="shared" si="20"/>
        <v>186.98</v>
      </c>
      <c r="J74" s="102">
        <f t="shared" si="21"/>
        <v>46.74</v>
      </c>
      <c r="K74" s="102">
        <f t="shared" si="22"/>
        <v>46.74</v>
      </c>
      <c r="L74" s="102">
        <f t="shared" si="23"/>
        <v>56.09</v>
      </c>
      <c r="M74" s="102">
        <f t="shared" si="24"/>
        <v>28.04</v>
      </c>
      <c r="N74" s="18">
        <f>MATRIZ!$I$382</f>
        <v>2.87</v>
      </c>
      <c r="O74" s="119">
        <f>SUM(F74:N74)-0.02</f>
        <v>1321.05</v>
      </c>
    </row>
    <row r="75" spans="2:15" ht="15" customHeight="1" x14ac:dyDescent="0.25">
      <c r="B75" s="120" t="s">
        <v>223</v>
      </c>
      <c r="C75" s="458" t="s">
        <v>254</v>
      </c>
      <c r="D75" s="458"/>
      <c r="E75" s="489">
        <f>E74</f>
        <v>10000</v>
      </c>
      <c r="F75" s="448">
        <f>MATRIZ!I293</f>
        <v>917.89</v>
      </c>
      <c r="G75" s="490">
        <f>MATRIZ!$I$264</f>
        <v>65.319999999999993</v>
      </c>
      <c r="H75" s="121">
        <f t="shared" si="19"/>
        <v>19.66</v>
      </c>
      <c r="I75" s="121">
        <f t="shared" si="20"/>
        <v>196.64</v>
      </c>
      <c r="J75" s="121">
        <f t="shared" si="21"/>
        <v>49.16</v>
      </c>
      <c r="K75" s="121">
        <f t="shared" si="22"/>
        <v>49.16</v>
      </c>
      <c r="L75" s="121">
        <f t="shared" si="23"/>
        <v>58.99</v>
      </c>
      <c r="M75" s="121">
        <f t="shared" si="24"/>
        <v>29.49</v>
      </c>
      <c r="N75" s="120">
        <f>MATRIZ!$I$382</f>
        <v>2.87</v>
      </c>
      <c r="O75" s="460">
        <f>SUM(F75:N75)-0.06</f>
        <v>1389.1200000000001</v>
      </c>
    </row>
    <row r="76" spans="2:15" ht="15" x14ac:dyDescent="0.25">
      <c r="B76" s="4"/>
      <c r="C76" s="4"/>
      <c r="D76" s="4"/>
      <c r="E76" s="4"/>
      <c r="F76" s="4"/>
      <c r="G76" s="101"/>
      <c r="H76" s="4"/>
      <c r="I76" s="4"/>
      <c r="J76" s="4"/>
      <c r="K76" s="4"/>
      <c r="L76" s="4"/>
      <c r="M76" s="4"/>
      <c r="N76" s="4"/>
      <c r="O76" s="4"/>
    </row>
    <row r="77" spans="2:15" ht="15" x14ac:dyDescent="0.25">
      <c r="B77" s="4"/>
      <c r="C77" s="4"/>
      <c r="D77" s="4"/>
      <c r="E77" s="4"/>
      <c r="F77" s="4"/>
      <c r="G77" s="101"/>
      <c r="H77" s="4"/>
      <c r="I77" s="4"/>
      <c r="J77" s="4"/>
      <c r="K77" s="4"/>
      <c r="L77" s="4"/>
      <c r="M77" s="4"/>
      <c r="N77" s="4"/>
      <c r="O77" s="4"/>
    </row>
    <row r="78" spans="2:15" ht="15" x14ac:dyDescent="0.25">
      <c r="B78" s="4"/>
      <c r="C78" s="4"/>
      <c r="D78" s="4"/>
      <c r="E78" s="4"/>
      <c r="F78" s="4"/>
      <c r="G78" s="101"/>
      <c r="H78" s="4"/>
      <c r="I78" s="4"/>
      <c r="J78" s="4"/>
      <c r="K78" s="4"/>
      <c r="L78" s="4"/>
      <c r="M78" s="4"/>
      <c r="N78" s="4"/>
      <c r="O78" s="4"/>
    </row>
    <row r="79" spans="2:15" ht="15" customHeight="1" x14ac:dyDescent="0.2">
      <c r="B79" s="986" t="s">
        <v>224</v>
      </c>
      <c r="C79" s="987"/>
      <c r="D79" s="987"/>
      <c r="E79" s="988"/>
      <c r="F79" s="978" t="s">
        <v>217</v>
      </c>
      <c r="G79" s="979" t="s">
        <v>45</v>
      </c>
      <c r="H79" s="979" t="s">
        <v>165</v>
      </c>
      <c r="I79" s="978" t="s">
        <v>218</v>
      </c>
      <c r="J79" s="978" t="s">
        <v>225</v>
      </c>
      <c r="K79" s="978" t="s">
        <v>4</v>
      </c>
      <c r="L79" s="978" t="s">
        <v>637</v>
      </c>
      <c r="M79" s="979" t="s">
        <v>5</v>
      </c>
      <c r="N79" s="979" t="s">
        <v>220</v>
      </c>
      <c r="O79" s="985" t="s">
        <v>7</v>
      </c>
    </row>
    <row r="80" spans="2:15" s="100" customFormat="1" ht="19.5" customHeight="1" x14ac:dyDescent="0.25">
      <c r="B80" s="989"/>
      <c r="C80" s="990"/>
      <c r="D80" s="990"/>
      <c r="E80" s="991"/>
      <c r="F80" s="978"/>
      <c r="G80" s="980"/>
      <c r="H80" s="980"/>
      <c r="I80" s="978"/>
      <c r="J80" s="978"/>
      <c r="K80" s="978"/>
      <c r="L80" s="978"/>
      <c r="M80" s="980"/>
      <c r="N80" s="980"/>
      <c r="O80" s="985"/>
    </row>
    <row r="81" spans="2:15" ht="33.75" customHeight="1" x14ac:dyDescent="0.2">
      <c r="B81" s="1004" t="s">
        <v>445</v>
      </c>
      <c r="C81" s="1005"/>
      <c r="D81" s="1005"/>
      <c r="E81" s="1006"/>
      <c r="F81" s="251" t="s">
        <v>519</v>
      </c>
      <c r="G81" s="447">
        <f>MATRIZ!$I$264</f>
        <v>65.319999999999993</v>
      </c>
      <c r="H81" s="260">
        <f t="shared" ref="H81:H85" si="26">TRUNC(G81*2%,2)</f>
        <v>1.3</v>
      </c>
      <c r="I81" s="260">
        <f t="shared" ref="I81" si="27">TRUNC(G81*20%,2)</f>
        <v>13.06</v>
      </c>
      <c r="J81" s="260">
        <f t="shared" ref="J81" si="28">TRUNC(G81*5%,2)</f>
        <v>3.26</v>
      </c>
      <c r="K81" s="260">
        <f t="shared" ref="K81" si="29">TRUNC(G81*5%,2)</f>
        <v>3.26</v>
      </c>
      <c r="L81" s="260">
        <f>TRUNC(G81*6%,2)</f>
        <v>3.91</v>
      </c>
      <c r="M81" s="260">
        <f t="shared" ref="M81" si="30">TRUNC(G81*3%,2)</f>
        <v>1.95</v>
      </c>
      <c r="N81" s="260">
        <f>MATRIZ!$I$382</f>
        <v>2.87</v>
      </c>
      <c r="O81" s="462">
        <f t="shared" ref="O81" si="31">SUM(G81:N81)</f>
        <v>94.93</v>
      </c>
    </row>
    <row r="82" spans="2:15" ht="33.75" customHeight="1" x14ac:dyDescent="0.2">
      <c r="B82" s="1001" t="s">
        <v>446</v>
      </c>
      <c r="C82" s="1002"/>
      <c r="D82" s="1002"/>
      <c r="E82" s="1003"/>
      <c r="F82" s="256" t="s">
        <v>518</v>
      </c>
      <c r="G82" s="260" t="s">
        <v>230</v>
      </c>
      <c r="H82" s="260" t="s">
        <v>230</v>
      </c>
      <c r="I82" s="260" t="s">
        <v>230</v>
      </c>
      <c r="J82" s="260" t="s">
        <v>230</v>
      </c>
      <c r="K82" s="260" t="s">
        <v>230</v>
      </c>
      <c r="L82" s="260" t="s">
        <v>230</v>
      </c>
      <c r="M82" s="260" t="s">
        <v>230</v>
      </c>
      <c r="N82" s="260" t="s">
        <v>230</v>
      </c>
      <c r="O82" s="256" t="s">
        <v>230</v>
      </c>
    </row>
    <row r="83" spans="2:15" ht="20.25" customHeight="1" x14ac:dyDescent="0.25">
      <c r="B83" s="995" t="s">
        <v>226</v>
      </c>
      <c r="C83" s="996"/>
      <c r="D83" s="996"/>
      <c r="E83" s="997"/>
      <c r="F83" s="252" t="s">
        <v>227</v>
      </c>
      <c r="G83" s="248">
        <f>MATRIZ!I256</f>
        <v>15.34</v>
      </c>
      <c r="H83" s="260">
        <f t="shared" si="26"/>
        <v>0.3</v>
      </c>
      <c r="I83" s="260">
        <f t="shared" ref="I83" si="32">TRUNC(G83*20%,2)</f>
        <v>3.06</v>
      </c>
      <c r="J83" s="260">
        <f t="shared" ref="J83" si="33">TRUNC(G83*5%,2)</f>
        <v>0.76</v>
      </c>
      <c r="K83" s="260">
        <f t="shared" ref="K83" si="34">TRUNC(G83*5%,2)</f>
        <v>0.76</v>
      </c>
      <c r="L83" s="260">
        <f>TRUNC(G83*6%,2)</f>
        <v>0.92</v>
      </c>
      <c r="M83" s="260">
        <f t="shared" ref="M83" si="35">TRUNC(G83*3%,2)</f>
        <v>0.46</v>
      </c>
      <c r="N83" s="260">
        <f>MATRIZ!$I$382</f>
        <v>2.87</v>
      </c>
      <c r="O83" s="462">
        <f t="shared" ref="O83:O96" si="36">SUM(G83:N83)</f>
        <v>24.470000000000006</v>
      </c>
    </row>
    <row r="84" spans="2:15" ht="20.25" customHeight="1" x14ac:dyDescent="0.25">
      <c r="B84" s="992" t="s">
        <v>228</v>
      </c>
      <c r="C84" s="993"/>
      <c r="D84" s="993"/>
      <c r="E84" s="994"/>
      <c r="F84" s="102" t="s">
        <v>229</v>
      </c>
      <c r="G84" s="248">
        <f>MATRIZ!I257</f>
        <v>7.23</v>
      </c>
      <c r="H84" s="260">
        <f t="shared" si="26"/>
        <v>0.14000000000000001</v>
      </c>
      <c r="I84" s="260">
        <f t="shared" ref="I84" si="37">TRUNC(G84*20%,2)</f>
        <v>1.44</v>
      </c>
      <c r="J84" s="260">
        <f t="shared" ref="J84" si="38">TRUNC(G84*5%,2)</f>
        <v>0.36</v>
      </c>
      <c r="K84" s="260">
        <f t="shared" ref="K84" si="39">TRUNC(G84*5%,2)</f>
        <v>0.36</v>
      </c>
      <c r="L84" s="260">
        <f t="shared" ref="L84:L96" si="40">TRUNC(G84*6%,2)</f>
        <v>0.43</v>
      </c>
      <c r="M84" s="260">
        <f t="shared" ref="M84" si="41">TRUNC(G84*3%,2)</f>
        <v>0.21</v>
      </c>
      <c r="N84" s="102" t="s">
        <v>230</v>
      </c>
      <c r="O84" s="462">
        <f t="shared" si="36"/>
        <v>10.17</v>
      </c>
    </row>
    <row r="85" spans="2:15" ht="20.25" customHeight="1" x14ac:dyDescent="0.25">
      <c r="B85" s="992" t="s">
        <v>234</v>
      </c>
      <c r="C85" s="993"/>
      <c r="D85" s="993"/>
      <c r="E85" s="994"/>
      <c r="F85" s="257" t="s">
        <v>235</v>
      </c>
      <c r="G85" s="248">
        <f>MATRIZ!I258</f>
        <v>1.82</v>
      </c>
      <c r="H85" s="260">
        <f t="shared" si="26"/>
        <v>0.03</v>
      </c>
      <c r="I85" s="260">
        <f t="shared" ref="I85:I86" si="42">TRUNC(G85*20%,2)</f>
        <v>0.36</v>
      </c>
      <c r="J85" s="260">
        <f t="shared" ref="J85:J86" si="43">TRUNC(G85*5%,2)</f>
        <v>0.09</v>
      </c>
      <c r="K85" s="260">
        <f t="shared" ref="K85:K86" si="44">TRUNC(G85*5%,2)</f>
        <v>0.09</v>
      </c>
      <c r="L85" s="260">
        <f t="shared" si="40"/>
        <v>0.1</v>
      </c>
      <c r="M85" s="260">
        <f t="shared" ref="M85:M86" si="45">TRUNC(G85*3%,2)</f>
        <v>0.05</v>
      </c>
      <c r="N85" s="102" t="s">
        <v>230</v>
      </c>
      <c r="O85" s="462">
        <f t="shared" si="36"/>
        <v>2.5399999999999996</v>
      </c>
    </row>
    <row r="86" spans="2:15" ht="20.25" customHeight="1" x14ac:dyDescent="0.2">
      <c r="B86" s="992" t="s">
        <v>236</v>
      </c>
      <c r="C86" s="993"/>
      <c r="D86" s="993"/>
      <c r="E86" s="994"/>
      <c r="F86" s="256" t="s">
        <v>237</v>
      </c>
      <c r="G86" s="447">
        <f>SUM(,MATRIZ!I5)</f>
        <v>30.22</v>
      </c>
      <c r="H86" s="18" t="s">
        <v>230</v>
      </c>
      <c r="I86" s="260">
        <f t="shared" si="42"/>
        <v>6.04</v>
      </c>
      <c r="J86" s="260">
        <f t="shared" si="43"/>
        <v>1.51</v>
      </c>
      <c r="K86" s="260">
        <f t="shared" si="44"/>
        <v>1.51</v>
      </c>
      <c r="L86" s="260">
        <f t="shared" si="40"/>
        <v>1.81</v>
      </c>
      <c r="M86" s="260">
        <f t="shared" si="45"/>
        <v>0.9</v>
      </c>
      <c r="N86" s="260">
        <f>MATRIZ!$I$382</f>
        <v>2.87</v>
      </c>
      <c r="O86" s="462">
        <f t="shared" si="36"/>
        <v>44.859999999999992</v>
      </c>
    </row>
    <row r="87" spans="2:15" ht="20.25" customHeight="1" x14ac:dyDescent="0.2">
      <c r="B87" s="992" t="s">
        <v>238</v>
      </c>
      <c r="C87" s="993"/>
      <c r="D87" s="993"/>
      <c r="E87" s="994"/>
      <c r="F87" s="256" t="s">
        <v>653</v>
      </c>
      <c r="G87" s="447">
        <f>SUM(,MATRIZ!I5)</f>
        <v>30.22</v>
      </c>
      <c r="H87" s="18" t="s">
        <v>230</v>
      </c>
      <c r="I87" s="260">
        <f t="shared" ref="I87:I96" si="46">TRUNC(G87*20%,2)</f>
        <v>6.04</v>
      </c>
      <c r="J87" s="260">
        <f t="shared" ref="J87:J96" si="47">TRUNC(G87*5%,2)</f>
        <v>1.51</v>
      </c>
      <c r="K87" s="260">
        <f t="shared" ref="K87:K96" si="48">TRUNC(G87*5%,2)</f>
        <v>1.51</v>
      </c>
      <c r="L87" s="260">
        <f t="shared" si="40"/>
        <v>1.81</v>
      </c>
      <c r="M87" s="260">
        <f t="shared" ref="M87:M96" si="49">TRUNC(G87*3%,2)</f>
        <v>0.9</v>
      </c>
      <c r="N87" s="260">
        <f>MATRIZ!$I$382</f>
        <v>2.87</v>
      </c>
      <c r="O87" s="462">
        <f t="shared" si="36"/>
        <v>44.859999999999992</v>
      </c>
    </row>
    <row r="88" spans="2:15" ht="20.25" customHeight="1" x14ac:dyDescent="0.2">
      <c r="B88" s="992" t="s">
        <v>255</v>
      </c>
      <c r="C88" s="993"/>
      <c r="D88" s="993"/>
      <c r="E88" s="994"/>
      <c r="F88" s="256" t="s">
        <v>654</v>
      </c>
      <c r="G88" s="447">
        <f>SUM(,MATRIZ!I5)</f>
        <v>30.22</v>
      </c>
      <c r="H88" s="18" t="s">
        <v>230</v>
      </c>
      <c r="I88" s="260">
        <f t="shared" si="46"/>
        <v>6.04</v>
      </c>
      <c r="J88" s="260">
        <f t="shared" si="47"/>
        <v>1.51</v>
      </c>
      <c r="K88" s="260">
        <f t="shared" si="48"/>
        <v>1.51</v>
      </c>
      <c r="L88" s="260">
        <f t="shared" si="40"/>
        <v>1.81</v>
      </c>
      <c r="M88" s="260">
        <f t="shared" si="49"/>
        <v>0.9</v>
      </c>
      <c r="N88" s="260">
        <f>MATRIZ!$I$382</f>
        <v>2.87</v>
      </c>
      <c r="O88" s="462">
        <f t="shared" si="36"/>
        <v>44.859999999999992</v>
      </c>
    </row>
    <row r="89" spans="2:15" ht="20.25" customHeight="1" x14ac:dyDescent="0.2">
      <c r="B89" s="992" t="s">
        <v>256</v>
      </c>
      <c r="C89" s="993"/>
      <c r="D89" s="993"/>
      <c r="E89" s="994"/>
      <c r="F89" s="256" t="s">
        <v>653</v>
      </c>
      <c r="G89" s="447">
        <f>SUM(,MATRIZ!I5)</f>
        <v>30.22</v>
      </c>
      <c r="H89" s="18" t="s">
        <v>230</v>
      </c>
      <c r="I89" s="260">
        <f t="shared" si="46"/>
        <v>6.04</v>
      </c>
      <c r="J89" s="260">
        <f t="shared" si="47"/>
        <v>1.51</v>
      </c>
      <c r="K89" s="260">
        <f t="shared" si="48"/>
        <v>1.51</v>
      </c>
      <c r="L89" s="260">
        <f t="shared" si="40"/>
        <v>1.81</v>
      </c>
      <c r="M89" s="260">
        <f t="shared" si="49"/>
        <v>0.9</v>
      </c>
      <c r="N89" s="260">
        <f>MATRIZ!$I$382</f>
        <v>2.87</v>
      </c>
      <c r="O89" s="462">
        <f t="shared" si="36"/>
        <v>44.859999999999992</v>
      </c>
    </row>
    <row r="90" spans="2:15" ht="20.25" customHeight="1" x14ac:dyDescent="0.2">
      <c r="B90" s="992" t="s">
        <v>257</v>
      </c>
      <c r="C90" s="993"/>
      <c r="D90" s="993"/>
      <c r="E90" s="994"/>
      <c r="F90" s="256" t="s">
        <v>654</v>
      </c>
      <c r="G90" s="447">
        <f>SUM(,MATRIZ!I5)</f>
        <v>30.22</v>
      </c>
      <c r="H90" s="18" t="s">
        <v>230</v>
      </c>
      <c r="I90" s="260">
        <f t="shared" si="46"/>
        <v>6.04</v>
      </c>
      <c r="J90" s="260">
        <f t="shared" si="47"/>
        <v>1.51</v>
      </c>
      <c r="K90" s="260">
        <f t="shared" si="48"/>
        <v>1.51</v>
      </c>
      <c r="L90" s="260">
        <f t="shared" si="40"/>
        <v>1.81</v>
      </c>
      <c r="M90" s="260">
        <f t="shared" si="49"/>
        <v>0.9</v>
      </c>
      <c r="N90" s="260">
        <f>MATRIZ!$I$382</f>
        <v>2.87</v>
      </c>
      <c r="O90" s="462">
        <f t="shared" si="36"/>
        <v>44.859999999999992</v>
      </c>
    </row>
    <row r="91" spans="2:15" ht="20.25" customHeight="1" x14ac:dyDescent="0.2">
      <c r="B91" s="992" t="s">
        <v>258</v>
      </c>
      <c r="C91" s="993"/>
      <c r="D91" s="993"/>
      <c r="E91" s="994"/>
      <c r="F91" s="256" t="s">
        <v>653</v>
      </c>
      <c r="G91" s="447">
        <f>SUM(MATRIZ!I5)</f>
        <v>30.22</v>
      </c>
      <c r="H91" s="18" t="s">
        <v>230</v>
      </c>
      <c r="I91" s="260">
        <f t="shared" si="46"/>
        <v>6.04</v>
      </c>
      <c r="J91" s="260">
        <f t="shared" si="47"/>
        <v>1.51</v>
      </c>
      <c r="K91" s="260">
        <f t="shared" si="48"/>
        <v>1.51</v>
      </c>
      <c r="L91" s="260">
        <f t="shared" si="40"/>
        <v>1.81</v>
      </c>
      <c r="M91" s="260">
        <f t="shared" si="49"/>
        <v>0.9</v>
      </c>
      <c r="N91" s="260">
        <f>MATRIZ!$I$382</f>
        <v>2.87</v>
      </c>
      <c r="O91" s="462">
        <f t="shared" si="36"/>
        <v>44.859999999999992</v>
      </c>
    </row>
    <row r="92" spans="2:15" ht="20.25" customHeight="1" x14ac:dyDescent="0.25">
      <c r="B92" s="992" t="s">
        <v>259</v>
      </c>
      <c r="C92" s="993"/>
      <c r="D92" s="993"/>
      <c r="E92" s="994"/>
      <c r="F92" s="256" t="s">
        <v>239</v>
      </c>
      <c r="G92" s="248">
        <f>MATRIZ!I5</f>
        <v>30.22</v>
      </c>
      <c r="H92" s="18" t="s">
        <v>230</v>
      </c>
      <c r="I92" s="260">
        <f t="shared" si="46"/>
        <v>6.04</v>
      </c>
      <c r="J92" s="260">
        <f t="shared" si="47"/>
        <v>1.51</v>
      </c>
      <c r="K92" s="260">
        <f t="shared" si="48"/>
        <v>1.51</v>
      </c>
      <c r="L92" s="260">
        <f t="shared" si="40"/>
        <v>1.81</v>
      </c>
      <c r="M92" s="260">
        <f t="shared" si="49"/>
        <v>0.9</v>
      </c>
      <c r="N92" s="260">
        <f>MATRIZ!$I$382</f>
        <v>2.87</v>
      </c>
      <c r="O92" s="462">
        <f t="shared" si="36"/>
        <v>44.859999999999992</v>
      </c>
    </row>
    <row r="93" spans="2:15" ht="20.25" customHeight="1" x14ac:dyDescent="0.25">
      <c r="B93" s="992" t="s">
        <v>233</v>
      </c>
      <c r="C93" s="993"/>
      <c r="D93" s="993"/>
      <c r="E93" s="994"/>
      <c r="F93" s="257" t="s">
        <v>520</v>
      </c>
      <c r="G93" s="248">
        <f>MATRIZ!I6</f>
        <v>30.22</v>
      </c>
      <c r="H93" s="18" t="s">
        <v>230</v>
      </c>
      <c r="I93" s="260">
        <f t="shared" si="46"/>
        <v>6.04</v>
      </c>
      <c r="J93" s="260">
        <f t="shared" si="47"/>
        <v>1.51</v>
      </c>
      <c r="K93" s="260">
        <f t="shared" si="48"/>
        <v>1.51</v>
      </c>
      <c r="L93" s="260">
        <f t="shared" si="40"/>
        <v>1.81</v>
      </c>
      <c r="M93" s="260">
        <f t="shared" si="49"/>
        <v>0.9</v>
      </c>
      <c r="N93" s="102" t="s">
        <v>230</v>
      </c>
      <c r="O93" s="462">
        <f t="shared" si="36"/>
        <v>41.989999999999995</v>
      </c>
    </row>
    <row r="94" spans="2:15" ht="18.75" customHeight="1" x14ac:dyDescent="0.25">
      <c r="B94" s="992" t="s">
        <v>240</v>
      </c>
      <c r="C94" s="993"/>
      <c r="D94" s="993"/>
      <c r="E94" s="994"/>
      <c r="F94" s="256" t="s">
        <v>239</v>
      </c>
      <c r="G94" s="248">
        <f>MATRIZ!I5</f>
        <v>30.22</v>
      </c>
      <c r="H94" s="18" t="s">
        <v>230</v>
      </c>
      <c r="I94" s="260">
        <f t="shared" si="46"/>
        <v>6.04</v>
      </c>
      <c r="J94" s="260">
        <f t="shared" si="47"/>
        <v>1.51</v>
      </c>
      <c r="K94" s="260">
        <f t="shared" si="48"/>
        <v>1.51</v>
      </c>
      <c r="L94" s="260">
        <f t="shared" si="40"/>
        <v>1.81</v>
      </c>
      <c r="M94" s="260">
        <f t="shared" si="49"/>
        <v>0.9</v>
      </c>
      <c r="N94" s="102" t="s">
        <v>230</v>
      </c>
      <c r="O94" s="462">
        <f t="shared" si="36"/>
        <v>41.989999999999995</v>
      </c>
    </row>
    <row r="95" spans="2:15" ht="34.5" customHeight="1" x14ac:dyDescent="0.2">
      <c r="B95" s="1001" t="s">
        <v>241</v>
      </c>
      <c r="C95" s="1002"/>
      <c r="D95" s="1002"/>
      <c r="E95" s="1003"/>
      <c r="F95" s="253" t="s">
        <v>242</v>
      </c>
      <c r="G95" s="447">
        <f>MATRIZ!I259</f>
        <v>16.21</v>
      </c>
      <c r="H95" s="260">
        <f t="shared" ref="H95:H96" si="50">TRUNC(G95*2%,2)</f>
        <v>0.32</v>
      </c>
      <c r="I95" s="260">
        <f t="shared" si="46"/>
        <v>3.24</v>
      </c>
      <c r="J95" s="260">
        <f t="shared" si="47"/>
        <v>0.81</v>
      </c>
      <c r="K95" s="260">
        <f t="shared" si="48"/>
        <v>0.81</v>
      </c>
      <c r="L95" s="260">
        <f t="shared" si="40"/>
        <v>0.97</v>
      </c>
      <c r="M95" s="260">
        <f t="shared" si="49"/>
        <v>0.48</v>
      </c>
      <c r="N95" s="256" t="s">
        <v>230</v>
      </c>
      <c r="O95" s="462">
        <f t="shared" si="36"/>
        <v>22.84</v>
      </c>
    </row>
    <row r="96" spans="2:15" s="2" customFormat="1" ht="33.75" customHeight="1" x14ac:dyDescent="0.25">
      <c r="B96" s="1001" t="s">
        <v>442</v>
      </c>
      <c r="C96" s="1002"/>
      <c r="D96" s="1002"/>
      <c r="E96" s="1003"/>
      <c r="F96" s="253" t="s">
        <v>243</v>
      </c>
      <c r="G96" s="447">
        <f>TRUNC(50%*MATRIZ!I5,2)</f>
        <v>15.11</v>
      </c>
      <c r="H96" s="260">
        <f t="shared" si="50"/>
        <v>0.3</v>
      </c>
      <c r="I96" s="260">
        <f t="shared" si="46"/>
        <v>3.02</v>
      </c>
      <c r="J96" s="260">
        <f t="shared" si="47"/>
        <v>0.75</v>
      </c>
      <c r="K96" s="260">
        <f t="shared" si="48"/>
        <v>0.75</v>
      </c>
      <c r="L96" s="260">
        <f t="shared" si="40"/>
        <v>0.9</v>
      </c>
      <c r="M96" s="260">
        <f t="shared" si="49"/>
        <v>0.45</v>
      </c>
      <c r="N96" s="256" t="s">
        <v>230</v>
      </c>
      <c r="O96" s="462">
        <f t="shared" si="36"/>
        <v>21.279999999999998</v>
      </c>
    </row>
    <row r="97" spans="2:15" ht="45" customHeight="1" x14ac:dyDescent="0.2">
      <c r="B97" s="1001" t="s">
        <v>439</v>
      </c>
      <c r="C97" s="1002"/>
      <c r="D97" s="1002"/>
      <c r="E97" s="1003"/>
      <c r="F97" s="253" t="s">
        <v>244</v>
      </c>
      <c r="G97" s="249" t="s">
        <v>245</v>
      </c>
      <c r="H97" s="260" t="s">
        <v>230</v>
      </c>
      <c r="I97" s="260" t="s">
        <v>230</v>
      </c>
      <c r="J97" s="260" t="s">
        <v>230</v>
      </c>
      <c r="K97" s="260" t="s">
        <v>230</v>
      </c>
      <c r="L97" s="260" t="s">
        <v>230</v>
      </c>
      <c r="M97" s="260" t="s">
        <v>230</v>
      </c>
      <c r="N97" s="256" t="s">
        <v>230</v>
      </c>
      <c r="O97" s="257" t="s">
        <v>461</v>
      </c>
    </row>
    <row r="98" spans="2:15" s="453" customFormat="1" ht="20.25" customHeight="1" x14ac:dyDescent="0.25">
      <c r="B98" s="995" t="s">
        <v>231</v>
      </c>
      <c r="C98" s="996"/>
      <c r="D98" s="996"/>
      <c r="E98" s="997"/>
      <c r="F98" s="256" t="s">
        <v>232</v>
      </c>
      <c r="G98" s="450"/>
      <c r="H98" s="451"/>
      <c r="I98" s="451"/>
      <c r="J98" s="451"/>
      <c r="K98" s="451"/>
      <c r="L98" s="451"/>
      <c r="M98" s="451"/>
      <c r="N98" s="449"/>
      <c r="O98" s="452"/>
    </row>
    <row r="99" spans="2:15" s="453" customFormat="1" ht="18" customHeight="1" x14ac:dyDescent="0.25">
      <c r="B99" s="998" t="s">
        <v>246</v>
      </c>
      <c r="C99" s="999"/>
      <c r="D99" s="999"/>
      <c r="E99" s="1000"/>
      <c r="F99" s="258" t="s">
        <v>232</v>
      </c>
      <c r="G99" s="455"/>
      <c r="H99" s="456"/>
      <c r="I99" s="456"/>
      <c r="J99" s="456"/>
      <c r="K99" s="456"/>
      <c r="L99" s="456"/>
      <c r="M99" s="456"/>
      <c r="N99" s="454"/>
      <c r="O99" s="457"/>
    </row>
    <row r="100" spans="2:15" ht="18" customHeight="1" x14ac:dyDescent="0.25">
      <c r="B100" s="4"/>
      <c r="C100" s="4"/>
      <c r="D100" s="4"/>
      <c r="E100" s="4"/>
      <c r="F100" s="4"/>
      <c r="G100" s="103"/>
      <c r="H100" s="4"/>
      <c r="I100" s="4"/>
      <c r="J100" s="4"/>
      <c r="K100" s="4"/>
      <c r="L100" s="4"/>
      <c r="M100" s="4"/>
      <c r="N100" s="4"/>
      <c r="O100" s="104"/>
    </row>
    <row r="101" spans="2:15" ht="18" customHeight="1" x14ac:dyDescent="0.25">
      <c r="B101" s="4"/>
      <c r="C101" s="4"/>
      <c r="D101" s="4"/>
      <c r="E101" s="4"/>
      <c r="F101" s="4"/>
      <c r="G101" s="103"/>
      <c r="H101" s="4"/>
      <c r="I101" s="4"/>
      <c r="J101" s="4"/>
      <c r="K101" s="4"/>
      <c r="L101" s="4"/>
      <c r="M101" s="4"/>
      <c r="N101" s="4"/>
      <c r="O101" s="104"/>
    </row>
    <row r="102" spans="2:15" ht="18" customHeight="1" x14ac:dyDescent="0.25">
      <c r="B102" s="4"/>
      <c r="C102" s="4"/>
      <c r="D102" s="4"/>
      <c r="E102" s="4"/>
      <c r="F102" s="4"/>
      <c r="G102" s="103"/>
      <c r="H102" s="4"/>
      <c r="I102" s="4"/>
      <c r="J102" s="4"/>
      <c r="K102" s="4"/>
      <c r="L102" s="4"/>
      <c r="M102" s="4"/>
      <c r="N102" s="4"/>
      <c r="O102" s="104"/>
    </row>
    <row r="103" spans="2:15" ht="18" customHeight="1" x14ac:dyDescent="0.25">
      <c r="B103" s="4"/>
      <c r="C103" s="4"/>
      <c r="D103" s="4"/>
      <c r="E103" s="4"/>
      <c r="F103" s="4"/>
      <c r="G103" s="103"/>
      <c r="H103" s="4"/>
      <c r="I103" s="4"/>
      <c r="J103" s="4"/>
      <c r="K103" s="4"/>
      <c r="L103" s="4"/>
      <c r="M103" s="4"/>
      <c r="N103" s="4"/>
      <c r="O103" s="104"/>
    </row>
    <row r="104" spans="2:15" ht="18" customHeight="1" x14ac:dyDescent="0.25">
      <c r="B104" s="4"/>
      <c r="C104" s="4"/>
      <c r="D104" s="4"/>
      <c r="E104" s="4"/>
      <c r="F104" s="4"/>
      <c r="G104" s="103"/>
      <c r="H104" s="4"/>
      <c r="I104" s="4"/>
      <c r="J104" s="4"/>
      <c r="K104" s="4"/>
      <c r="L104" s="4"/>
      <c r="M104" s="4"/>
      <c r="N104" s="4"/>
      <c r="O104" s="104"/>
    </row>
    <row r="105" spans="2:15" ht="18" customHeight="1" x14ac:dyDescent="0.25">
      <c r="B105" s="4"/>
      <c r="C105" s="4"/>
      <c r="D105" s="4"/>
      <c r="E105" s="4"/>
      <c r="F105" s="4"/>
      <c r="G105" s="103"/>
      <c r="H105" s="4"/>
      <c r="I105" s="4"/>
      <c r="J105" s="4"/>
      <c r="K105" s="4"/>
      <c r="L105" s="4"/>
      <c r="M105" s="4"/>
      <c r="N105" s="4"/>
      <c r="O105" s="104"/>
    </row>
    <row r="106" spans="2:15" ht="18" customHeight="1" x14ac:dyDescent="0.25">
      <c r="B106" s="4"/>
      <c r="C106" s="4"/>
      <c r="D106" s="4"/>
      <c r="E106" s="4"/>
      <c r="F106" s="4"/>
      <c r="G106" s="103"/>
      <c r="H106" s="4"/>
      <c r="I106" s="4"/>
      <c r="J106" s="4"/>
      <c r="K106" s="4"/>
      <c r="L106" s="4"/>
      <c r="M106" s="4"/>
      <c r="N106" s="4"/>
      <c r="O106" s="104"/>
    </row>
    <row r="107" spans="2:15" ht="18" customHeight="1" x14ac:dyDescent="0.25">
      <c r="B107" s="4"/>
      <c r="C107" s="4"/>
      <c r="D107" s="4"/>
      <c r="E107" s="4"/>
      <c r="F107" s="4"/>
      <c r="G107" s="103"/>
      <c r="H107" s="4"/>
      <c r="I107" s="4"/>
      <c r="J107" s="4"/>
      <c r="K107" s="4"/>
      <c r="L107" s="4"/>
      <c r="M107" s="4"/>
      <c r="N107" s="4"/>
      <c r="O107" s="104"/>
    </row>
    <row r="108" spans="2:15" ht="18" customHeight="1" x14ac:dyDescent="0.25">
      <c r="B108" s="4"/>
      <c r="C108" s="4"/>
      <c r="D108" s="4"/>
      <c r="E108" s="4"/>
      <c r="F108" s="4"/>
      <c r="G108" s="103"/>
      <c r="H108" s="4"/>
      <c r="I108" s="4"/>
      <c r="J108" s="4"/>
      <c r="K108" s="4"/>
      <c r="L108" s="4"/>
      <c r="M108" s="4"/>
      <c r="N108" s="4"/>
      <c r="O108" s="104"/>
    </row>
    <row r="109" spans="2:15" x14ac:dyDescent="0.2">
      <c r="B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2:15" x14ac:dyDescent="0.2">
      <c r="B110" s="4"/>
      <c r="C110" s="19"/>
      <c r="D110" s="19"/>
      <c r="E110" s="19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2:15" ht="15.75" x14ac:dyDescent="0.25">
      <c r="B111" s="4"/>
      <c r="C111" s="105"/>
      <c r="D111" s="105"/>
      <c r="E111" s="105"/>
      <c r="F111" s="4"/>
      <c r="G111" s="4"/>
      <c r="H111" s="4"/>
      <c r="I111" s="4"/>
      <c r="J111" s="4"/>
      <c r="K111" s="4"/>
      <c r="L111" s="4"/>
      <c r="M111" s="4"/>
      <c r="N111" s="4"/>
      <c r="O111" s="4"/>
    </row>
  </sheetData>
  <mergeCells count="66">
    <mergeCell ref="B24:O24"/>
    <mergeCell ref="N25:N26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B2:E3"/>
    <mergeCell ref="O25:O26"/>
    <mergeCell ref="M25:M26"/>
    <mergeCell ref="B82:E82"/>
    <mergeCell ref="B81:E81"/>
    <mergeCell ref="B87:E87"/>
    <mergeCell ref="B86:E86"/>
    <mergeCell ref="B85:E85"/>
    <mergeCell ref="B90:E90"/>
    <mergeCell ref="B89:E89"/>
    <mergeCell ref="B88:E88"/>
    <mergeCell ref="B84:E84"/>
    <mergeCell ref="B83:E83"/>
    <mergeCell ref="B93:E93"/>
    <mergeCell ref="B98:E98"/>
    <mergeCell ref="B92:E92"/>
    <mergeCell ref="B91:E91"/>
    <mergeCell ref="B99:E99"/>
    <mergeCell ref="B97:E97"/>
    <mergeCell ref="B96:E96"/>
    <mergeCell ref="B95:E95"/>
    <mergeCell ref="B94:E94"/>
    <mergeCell ref="B48:E49"/>
    <mergeCell ref="B25:E26"/>
    <mergeCell ref="M79:M80"/>
    <mergeCell ref="N79:N80"/>
    <mergeCell ref="O79:O80"/>
    <mergeCell ref="L48:L49"/>
    <mergeCell ref="M48:M49"/>
    <mergeCell ref="N48:N49"/>
    <mergeCell ref="O48:O49"/>
    <mergeCell ref="I48:I49"/>
    <mergeCell ref="H79:H80"/>
    <mergeCell ref="I79:I80"/>
    <mergeCell ref="J79:J80"/>
    <mergeCell ref="K79:K80"/>
    <mergeCell ref="B79:E80"/>
    <mergeCell ref="H48:H49"/>
    <mergeCell ref="G1:O1"/>
    <mergeCell ref="L79:L80"/>
    <mergeCell ref="F79:F80"/>
    <mergeCell ref="G79:G80"/>
    <mergeCell ref="K48:K49"/>
    <mergeCell ref="I25:I26"/>
    <mergeCell ref="J25:J26"/>
    <mergeCell ref="K25:K26"/>
    <mergeCell ref="F25:F26"/>
    <mergeCell ref="G25:G26"/>
    <mergeCell ref="H25:H26"/>
    <mergeCell ref="L25:L26"/>
    <mergeCell ref="B47:O47"/>
    <mergeCell ref="F48:F49"/>
    <mergeCell ref="B1:F1"/>
    <mergeCell ref="J48:J49"/>
  </mergeCells>
  <printOptions horizontalCentered="1"/>
  <pageMargins left="0" right="0.19685039370078741" top="0" bottom="0" header="0" footer="0"/>
  <pageSetup paperSize="9" scale="65" orientation="portrait" horizontalDpi="300" verticalDpi="300" r:id="rId1"/>
  <headerFooter alignWithMargins="0"/>
  <ignoredErrors>
    <ignoredError sqref="G92:G93 O54 O56 O64 O6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5"/>
  </sheetPr>
  <dimension ref="B1:P36"/>
  <sheetViews>
    <sheetView showGridLines="0" zoomScale="85" zoomScaleNormal="85" workbookViewId="0">
      <pane ySplit="3" topLeftCell="A4" activePane="bottomLeft" state="frozen"/>
      <selection activeCell="L275" sqref="L275"/>
      <selection pane="bottomLeft" activeCell="L275" sqref="L275"/>
    </sheetView>
  </sheetViews>
  <sheetFormatPr defaultRowHeight="12.75" x14ac:dyDescent="0.2"/>
  <cols>
    <col min="1" max="1" width="3.7109375" style="1" customWidth="1"/>
    <col min="2" max="2" width="6.5703125" style="1" customWidth="1"/>
    <col min="3" max="3" width="14.5703125" style="1" customWidth="1"/>
    <col min="4" max="4" width="5.7109375" style="1" customWidth="1"/>
    <col min="5" max="5" width="11" style="1" customWidth="1"/>
    <col min="6" max="6" width="41.28515625" style="1" customWidth="1"/>
    <col min="7" max="7" width="10.85546875" style="1" customWidth="1"/>
    <col min="8" max="8" width="10" style="1" customWidth="1"/>
    <col min="9" max="9" width="10.5703125" style="1" customWidth="1"/>
    <col min="10" max="10" width="11.28515625" style="1" customWidth="1"/>
    <col min="11" max="12" width="9.28515625" style="1" bestFit="1" customWidth="1"/>
    <col min="13" max="13" width="8" style="1" customWidth="1"/>
    <col min="14" max="14" width="7.85546875" style="1" customWidth="1"/>
    <col min="15" max="15" width="8.42578125" style="1" customWidth="1"/>
    <col min="16" max="16" width="10.42578125" style="1" bestFit="1" customWidth="1"/>
    <col min="17" max="16384" width="9.140625" style="1"/>
  </cols>
  <sheetData>
    <row r="1" spans="2:16" ht="27" customHeight="1" x14ac:dyDescent="0.2">
      <c r="B1" s="1026" t="str">
        <f>MATRIZ!B1</f>
        <v>PORTARIA n.º 423/2025</v>
      </c>
      <c r="C1" s="1027"/>
      <c r="D1" s="1027"/>
      <c r="E1" s="1027"/>
      <c r="F1" s="1028"/>
      <c r="G1" s="1029" t="s">
        <v>0</v>
      </c>
      <c r="H1" s="1030"/>
      <c r="I1" s="1030"/>
      <c r="J1" s="1030"/>
      <c r="K1" s="1030"/>
      <c r="L1" s="1030"/>
      <c r="M1" s="1030"/>
      <c r="N1" s="1030"/>
      <c r="O1" s="1030"/>
      <c r="P1" s="1031"/>
    </row>
    <row r="2" spans="2:16" ht="16.5" customHeight="1" x14ac:dyDescent="0.2">
      <c r="B2" s="1032" t="s">
        <v>1</v>
      </c>
      <c r="C2" s="1033"/>
      <c r="D2" s="1033"/>
      <c r="E2" s="1033"/>
      <c r="F2" s="1033"/>
      <c r="G2" s="1036" t="s">
        <v>2</v>
      </c>
      <c r="H2" s="478">
        <v>0.02</v>
      </c>
      <c r="I2" s="478">
        <v>0.2</v>
      </c>
      <c r="J2" s="478">
        <v>0.05</v>
      </c>
      <c r="K2" s="478">
        <v>0.05</v>
      </c>
      <c r="L2" s="478">
        <v>0.06</v>
      </c>
      <c r="M2" s="480">
        <v>0.03</v>
      </c>
      <c r="N2" s="979" t="s">
        <v>55</v>
      </c>
      <c r="O2" s="979" t="s">
        <v>6</v>
      </c>
      <c r="P2" s="1022" t="s">
        <v>7</v>
      </c>
    </row>
    <row r="3" spans="2:16" ht="16.5" customHeight="1" x14ac:dyDescent="0.2">
      <c r="B3" s="1034"/>
      <c r="C3" s="1035"/>
      <c r="D3" s="1035"/>
      <c r="E3" s="1035"/>
      <c r="F3" s="1035"/>
      <c r="G3" s="1037"/>
      <c r="H3" s="479" t="s">
        <v>40</v>
      </c>
      <c r="I3" s="479" t="s">
        <v>41</v>
      </c>
      <c r="J3" s="479" t="s">
        <v>42</v>
      </c>
      <c r="K3" s="479" t="s">
        <v>43</v>
      </c>
      <c r="L3" s="479" t="s">
        <v>44</v>
      </c>
      <c r="M3" s="479" t="s">
        <v>529</v>
      </c>
      <c r="N3" s="980"/>
      <c r="O3" s="980"/>
      <c r="P3" s="1023"/>
    </row>
    <row r="4" spans="2:16" ht="33.75" customHeight="1" x14ac:dyDescent="0.2">
      <c r="B4" s="1024" t="s">
        <v>260</v>
      </c>
      <c r="C4" s="1025"/>
      <c r="D4" s="1025"/>
      <c r="E4" s="1025"/>
      <c r="F4" s="1025"/>
      <c r="G4" s="3">
        <f>MATRIZ!I23</f>
        <v>350.99</v>
      </c>
      <c r="H4" s="317">
        <f>TRUNC(G4*2%,2)</f>
        <v>7.01</v>
      </c>
      <c r="I4" s="260">
        <f>TRUNC(G4*20%,2)</f>
        <v>70.19</v>
      </c>
      <c r="J4" s="260">
        <f>TRUNC(G4*5%,2)</f>
        <v>17.54</v>
      </c>
      <c r="K4" s="260">
        <f>J4</f>
        <v>17.54</v>
      </c>
      <c r="L4" s="260">
        <f>TRUNC(G4*6%,2)</f>
        <v>21.05</v>
      </c>
      <c r="M4" s="260">
        <f>TRUNC(G4*3%,2)</f>
        <v>10.52</v>
      </c>
      <c r="N4" s="250" t="s">
        <v>22</v>
      </c>
      <c r="O4" s="250">
        <f>MATRIZ!$I$382</f>
        <v>2.87</v>
      </c>
      <c r="P4" s="330">
        <f>SUM(G4:O4)</f>
        <v>497.71000000000004</v>
      </c>
    </row>
    <row r="5" spans="2:16" ht="45.75" customHeight="1" x14ac:dyDescent="0.2">
      <c r="B5" s="1013" t="s">
        <v>8</v>
      </c>
      <c r="C5" s="1040"/>
      <c r="D5" s="1040"/>
      <c r="E5" s="1040"/>
      <c r="F5" s="1040"/>
      <c r="G5" s="3">
        <f>MATRIZ!I24</f>
        <v>451.27</v>
      </c>
      <c r="H5" s="317">
        <f>TRUNC(G5*2%,2)</f>
        <v>9.02</v>
      </c>
      <c r="I5" s="260">
        <f>TRUNC(G5*20%,2)</f>
        <v>90.25</v>
      </c>
      <c r="J5" s="260">
        <f>TRUNC(G5*5%,2)</f>
        <v>22.56</v>
      </c>
      <c r="K5" s="260">
        <f>J5</f>
        <v>22.56</v>
      </c>
      <c r="L5" s="260">
        <f t="shared" ref="L5:L32" si="0">TRUNC(G5*6%,2)</f>
        <v>27.07</v>
      </c>
      <c r="M5" s="260">
        <f>TRUNC(G5*3%,2)</f>
        <v>13.53</v>
      </c>
      <c r="N5" s="260" t="s">
        <v>22</v>
      </c>
      <c r="O5" s="260">
        <f>MATRIZ!$I$382</f>
        <v>2.87</v>
      </c>
      <c r="P5" s="331">
        <f>SUM(G5:O5)</f>
        <v>639.12999999999988</v>
      </c>
    </row>
    <row r="6" spans="2:16" ht="36.75" customHeight="1" x14ac:dyDescent="0.2">
      <c r="B6" s="1013" t="s">
        <v>9</v>
      </c>
      <c r="C6" s="1040"/>
      <c r="D6" s="1040"/>
      <c r="E6" s="1040"/>
      <c r="F6" s="1040"/>
      <c r="G6" s="245" t="s">
        <v>424</v>
      </c>
      <c r="H6" s="4"/>
      <c r="I6" s="18"/>
      <c r="J6" s="18"/>
      <c r="K6" s="18"/>
      <c r="L6" s="260"/>
      <c r="M6" s="18"/>
      <c r="N6" s="260"/>
      <c r="O6" s="18"/>
      <c r="P6" s="331"/>
    </row>
    <row r="7" spans="2:16" ht="15" customHeight="1" x14ac:dyDescent="0.2">
      <c r="B7" s="5" t="s">
        <v>10</v>
      </c>
      <c r="C7" s="236">
        <f>MATRIZ!B27</f>
        <v>0.01</v>
      </c>
      <c r="D7" s="236"/>
      <c r="E7" s="236" t="s">
        <v>11</v>
      </c>
      <c r="F7" s="312">
        <f>MATRIZ!F27</f>
        <v>614504.12</v>
      </c>
      <c r="G7" s="3">
        <f>MATRIZ!I27</f>
        <v>110.6</v>
      </c>
      <c r="H7" s="317">
        <f>TRUNC(G7*2%,2)</f>
        <v>2.21</v>
      </c>
      <c r="I7" s="260">
        <f>TRUNC(G7*20%,2)</f>
        <v>22.12</v>
      </c>
      <c r="J7" s="260">
        <f>TRUNC(G7*5%,2)</f>
        <v>5.53</v>
      </c>
      <c r="K7" s="260">
        <f>J7</f>
        <v>5.53</v>
      </c>
      <c r="L7" s="260">
        <f t="shared" si="0"/>
        <v>6.63</v>
      </c>
      <c r="M7" s="260">
        <f>TRUNC(G7*3%,2)</f>
        <v>3.31</v>
      </c>
      <c r="N7" s="260" t="s">
        <v>22</v>
      </c>
      <c r="O7" s="260">
        <f>MATRIZ!$I$382</f>
        <v>2.87</v>
      </c>
      <c r="P7" s="331">
        <f>SUM(G7:O7)</f>
        <v>158.79999999999998</v>
      </c>
    </row>
    <row r="8" spans="2:16" ht="15" customHeight="1" x14ac:dyDescent="0.2">
      <c r="B8" s="5" t="s">
        <v>12</v>
      </c>
      <c r="C8" s="312">
        <f>MATRIZ!B28</f>
        <v>614504.13</v>
      </c>
      <c r="D8" s="236"/>
      <c r="E8" s="236" t="s">
        <v>11</v>
      </c>
      <c r="F8" s="312">
        <f>MATRIZ!F28</f>
        <v>1843512.4</v>
      </c>
      <c r="G8" s="3">
        <f>MATRIZ!I28</f>
        <v>221.21</v>
      </c>
      <c r="H8" s="317">
        <f t="shared" ref="H8:H32" si="1">TRUNC(G8*2%,2)</f>
        <v>4.42</v>
      </c>
      <c r="I8" s="260">
        <f t="shared" ref="I8:I13" si="2">TRUNC(G8*20%,2)</f>
        <v>44.24</v>
      </c>
      <c r="J8" s="260">
        <f t="shared" ref="J8:J13" si="3">TRUNC(G8*5%,2)</f>
        <v>11.06</v>
      </c>
      <c r="K8" s="260">
        <f t="shared" ref="K8:K32" si="4">J8</f>
        <v>11.06</v>
      </c>
      <c r="L8" s="260">
        <f t="shared" si="0"/>
        <v>13.27</v>
      </c>
      <c r="M8" s="260">
        <f t="shared" ref="M8:M13" si="5">TRUNC(G8*3%,2)</f>
        <v>6.63</v>
      </c>
      <c r="N8" s="260" t="s">
        <v>22</v>
      </c>
      <c r="O8" s="260">
        <f>MATRIZ!$I$382</f>
        <v>2.87</v>
      </c>
      <c r="P8" s="331">
        <f t="shared" ref="P8:P13" si="6">SUM(G8:O8)</f>
        <v>314.76</v>
      </c>
    </row>
    <row r="9" spans="2:16" ht="15" customHeight="1" x14ac:dyDescent="0.2">
      <c r="B9" s="5" t="s">
        <v>13</v>
      </c>
      <c r="C9" s="312">
        <f>MATRIZ!B29</f>
        <v>1843512.41</v>
      </c>
      <c r="D9" s="236"/>
      <c r="E9" s="236" t="s">
        <v>11</v>
      </c>
      <c r="F9" s="312">
        <f>MATRIZ!F29</f>
        <v>3687024.81</v>
      </c>
      <c r="G9" s="3">
        <f>MATRIZ!I29</f>
        <v>442.43</v>
      </c>
      <c r="H9" s="317">
        <f t="shared" si="1"/>
        <v>8.84</v>
      </c>
      <c r="I9" s="260">
        <f t="shared" si="2"/>
        <v>88.48</v>
      </c>
      <c r="J9" s="260">
        <f t="shared" si="3"/>
        <v>22.12</v>
      </c>
      <c r="K9" s="260">
        <f t="shared" si="4"/>
        <v>22.12</v>
      </c>
      <c r="L9" s="260">
        <f t="shared" si="0"/>
        <v>26.54</v>
      </c>
      <c r="M9" s="260">
        <f t="shared" si="5"/>
        <v>13.27</v>
      </c>
      <c r="N9" s="260" t="s">
        <v>22</v>
      </c>
      <c r="O9" s="260">
        <f>MATRIZ!$I$382</f>
        <v>2.87</v>
      </c>
      <c r="P9" s="331">
        <f t="shared" si="6"/>
        <v>626.66999999999996</v>
      </c>
    </row>
    <row r="10" spans="2:16" ht="15" customHeight="1" x14ac:dyDescent="0.2">
      <c r="B10" s="5" t="s">
        <v>14</v>
      </c>
      <c r="C10" s="312">
        <f>MATRIZ!B30</f>
        <v>3687024.82</v>
      </c>
      <c r="D10" s="236"/>
      <c r="E10" s="236" t="s">
        <v>11</v>
      </c>
      <c r="F10" s="312">
        <f>MATRIZ!F30</f>
        <v>5530537.2199999997</v>
      </c>
      <c r="G10" s="3">
        <f>MATRIZ!I30</f>
        <v>663.65</v>
      </c>
      <c r="H10" s="317">
        <f t="shared" si="1"/>
        <v>13.27</v>
      </c>
      <c r="I10" s="260">
        <f t="shared" si="2"/>
        <v>132.72999999999999</v>
      </c>
      <c r="J10" s="260">
        <f t="shared" si="3"/>
        <v>33.18</v>
      </c>
      <c r="K10" s="260">
        <f t="shared" si="4"/>
        <v>33.18</v>
      </c>
      <c r="L10" s="260">
        <f t="shared" si="0"/>
        <v>39.81</v>
      </c>
      <c r="M10" s="260">
        <f t="shared" si="5"/>
        <v>19.899999999999999</v>
      </c>
      <c r="N10" s="260" t="s">
        <v>22</v>
      </c>
      <c r="O10" s="260">
        <f>MATRIZ!$I$382</f>
        <v>2.87</v>
      </c>
      <c r="P10" s="331">
        <f t="shared" si="6"/>
        <v>938.58999999999992</v>
      </c>
    </row>
    <row r="11" spans="2:16" ht="15" customHeight="1" x14ac:dyDescent="0.2">
      <c r="B11" s="5" t="s">
        <v>15</v>
      </c>
      <c r="C11" s="312">
        <f>MATRIZ!B31</f>
        <v>5530537.2299999995</v>
      </c>
      <c r="D11" s="236"/>
      <c r="E11" s="236" t="s">
        <v>11</v>
      </c>
      <c r="F11" s="312">
        <f>MATRIZ!F31</f>
        <v>7374049.6299999999</v>
      </c>
      <c r="G11" s="3">
        <f>MATRIZ!I31</f>
        <v>884.87</v>
      </c>
      <c r="H11" s="317">
        <f t="shared" si="1"/>
        <v>17.690000000000001</v>
      </c>
      <c r="I11" s="260">
        <f t="shared" si="2"/>
        <v>176.97</v>
      </c>
      <c r="J11" s="260">
        <f t="shared" si="3"/>
        <v>44.24</v>
      </c>
      <c r="K11" s="260">
        <f t="shared" si="4"/>
        <v>44.24</v>
      </c>
      <c r="L11" s="260">
        <f t="shared" si="0"/>
        <v>53.09</v>
      </c>
      <c r="M11" s="260">
        <f t="shared" si="5"/>
        <v>26.54</v>
      </c>
      <c r="N11" s="260" t="s">
        <v>22</v>
      </c>
      <c r="O11" s="260">
        <f>MATRIZ!$I$382</f>
        <v>2.87</v>
      </c>
      <c r="P11" s="331">
        <f t="shared" si="6"/>
        <v>1250.5099999999998</v>
      </c>
    </row>
    <row r="12" spans="2:16" ht="15" customHeight="1" x14ac:dyDescent="0.2">
      <c r="B12" s="5" t="s">
        <v>16</v>
      </c>
      <c r="C12" s="312">
        <f>MATRIZ!B32</f>
        <v>7374049.6399999997</v>
      </c>
      <c r="D12" s="236"/>
      <c r="E12" s="236" t="s">
        <v>11</v>
      </c>
      <c r="F12" s="312">
        <f>MATRIZ!F32</f>
        <v>9217562.0500000007</v>
      </c>
      <c r="G12" s="3">
        <f>MATRIZ!I32</f>
        <v>1106.0999999999999</v>
      </c>
      <c r="H12" s="317">
        <f t="shared" si="1"/>
        <v>22.12</v>
      </c>
      <c r="I12" s="260">
        <f t="shared" si="2"/>
        <v>221.22</v>
      </c>
      <c r="J12" s="260">
        <f t="shared" si="3"/>
        <v>55.3</v>
      </c>
      <c r="K12" s="260">
        <f t="shared" si="4"/>
        <v>55.3</v>
      </c>
      <c r="L12" s="260">
        <f t="shared" si="0"/>
        <v>66.36</v>
      </c>
      <c r="M12" s="260">
        <f t="shared" si="5"/>
        <v>33.18</v>
      </c>
      <c r="N12" s="260" t="s">
        <v>22</v>
      </c>
      <c r="O12" s="260">
        <f>MATRIZ!$I$382</f>
        <v>2.87</v>
      </c>
      <c r="P12" s="331">
        <f t="shared" si="6"/>
        <v>1562.4499999999996</v>
      </c>
    </row>
    <row r="13" spans="2:16" ht="15" customHeight="1" x14ac:dyDescent="0.2">
      <c r="B13" s="5" t="s">
        <v>17</v>
      </c>
      <c r="C13" s="236" t="s">
        <v>51</v>
      </c>
      <c r="D13" s="1041">
        <v>9980618.3399999999</v>
      </c>
      <c r="E13" s="1041"/>
      <c r="F13" s="238"/>
      <c r="G13" s="333">
        <f>MATRIZ!I33</f>
        <v>1327.32</v>
      </c>
      <c r="H13" s="317">
        <f t="shared" si="1"/>
        <v>26.54</v>
      </c>
      <c r="I13" s="260">
        <f t="shared" si="2"/>
        <v>265.45999999999998</v>
      </c>
      <c r="J13" s="260">
        <f t="shared" si="3"/>
        <v>66.36</v>
      </c>
      <c r="K13" s="260">
        <f t="shared" si="4"/>
        <v>66.36</v>
      </c>
      <c r="L13" s="260">
        <f t="shared" si="0"/>
        <v>79.63</v>
      </c>
      <c r="M13" s="260">
        <f t="shared" si="5"/>
        <v>39.81</v>
      </c>
      <c r="N13" s="260" t="s">
        <v>22</v>
      </c>
      <c r="O13" s="260">
        <f>MATRIZ!$I$382</f>
        <v>2.87</v>
      </c>
      <c r="P13" s="331">
        <f t="shared" si="6"/>
        <v>1874.3499999999995</v>
      </c>
    </row>
    <row r="14" spans="2:16" ht="29.25" customHeight="1" x14ac:dyDescent="0.2">
      <c r="B14" s="1011" t="s">
        <v>503</v>
      </c>
      <c r="C14" s="1012"/>
      <c r="D14" s="1012"/>
      <c r="E14" s="1012"/>
      <c r="F14" s="1012"/>
      <c r="G14" s="3">
        <f>MATRIZ!I35</f>
        <v>208.92</v>
      </c>
      <c r="H14" s="317">
        <f>TRUNC(G14*2%,2)</f>
        <v>4.17</v>
      </c>
      <c r="I14" s="260">
        <f>TRUNC(G14*20%,2)</f>
        <v>41.78</v>
      </c>
      <c r="J14" s="260">
        <f>TRUNC(G14*5%,2)</f>
        <v>10.44</v>
      </c>
      <c r="K14" s="260">
        <f>J14</f>
        <v>10.44</v>
      </c>
      <c r="L14" s="260">
        <f t="shared" si="0"/>
        <v>12.53</v>
      </c>
      <c r="M14" s="260">
        <f>TRUNC(G14*3%,2)</f>
        <v>6.26</v>
      </c>
      <c r="N14" s="260" t="s">
        <v>22</v>
      </c>
      <c r="O14" s="260">
        <f>MATRIZ!$I$382</f>
        <v>2.87</v>
      </c>
      <c r="P14" s="331">
        <f>SUM(G14:O14)</f>
        <v>297.40999999999997</v>
      </c>
    </row>
    <row r="15" spans="2:16" ht="21.75" customHeight="1" x14ac:dyDescent="0.2">
      <c r="B15" s="1013" t="s">
        <v>18</v>
      </c>
      <c r="C15" s="1014"/>
      <c r="D15" s="1014"/>
      <c r="E15" s="1014"/>
      <c r="F15" s="1014"/>
      <c r="G15" s="3">
        <f>MATRIZ!I36</f>
        <v>245.79</v>
      </c>
      <c r="H15" s="317">
        <f t="shared" si="1"/>
        <v>4.91</v>
      </c>
      <c r="I15" s="260">
        <f t="shared" ref="I15:I17" si="7">TRUNC(G15*20%,2)</f>
        <v>49.15</v>
      </c>
      <c r="J15" s="260">
        <f t="shared" ref="J15:J17" si="8">TRUNC(G15*5%,2)</f>
        <v>12.28</v>
      </c>
      <c r="K15" s="260">
        <f t="shared" si="4"/>
        <v>12.28</v>
      </c>
      <c r="L15" s="260">
        <f t="shared" si="0"/>
        <v>14.74</v>
      </c>
      <c r="M15" s="260">
        <f t="shared" ref="M15:M17" si="9">TRUNC(G15*3%,2)</f>
        <v>7.37</v>
      </c>
      <c r="N15" s="260" t="s">
        <v>22</v>
      </c>
      <c r="O15" s="260">
        <f>MATRIZ!$I$382</f>
        <v>2.87</v>
      </c>
      <c r="P15" s="331">
        <f t="shared" ref="P15:P17" si="10">SUM(G15:O15)</f>
        <v>349.38999999999993</v>
      </c>
    </row>
    <row r="16" spans="2:16" ht="32.25" customHeight="1" x14ac:dyDescent="0.2">
      <c r="B16" s="1038" t="s">
        <v>19</v>
      </c>
      <c r="C16" s="1039"/>
      <c r="D16" s="1039"/>
      <c r="E16" s="1039"/>
      <c r="F16" s="1039"/>
      <c r="G16" s="3">
        <f>MATRIZ!I37</f>
        <v>86.02</v>
      </c>
      <c r="H16" s="317">
        <f t="shared" si="1"/>
        <v>1.72</v>
      </c>
      <c r="I16" s="260">
        <f t="shared" si="7"/>
        <v>17.2</v>
      </c>
      <c r="J16" s="260">
        <f t="shared" si="8"/>
        <v>4.3</v>
      </c>
      <c r="K16" s="260">
        <f t="shared" si="4"/>
        <v>4.3</v>
      </c>
      <c r="L16" s="260">
        <f t="shared" si="0"/>
        <v>5.16</v>
      </c>
      <c r="M16" s="260">
        <f t="shared" si="9"/>
        <v>2.58</v>
      </c>
      <c r="N16" s="260" t="s">
        <v>22</v>
      </c>
      <c r="O16" s="260">
        <f>MATRIZ!$I$382</f>
        <v>2.87</v>
      </c>
      <c r="P16" s="331">
        <f t="shared" si="10"/>
        <v>124.14999999999999</v>
      </c>
    </row>
    <row r="17" spans="2:16" ht="32.25" customHeight="1" x14ac:dyDescent="0.2">
      <c r="B17" s="1013" t="s">
        <v>20</v>
      </c>
      <c r="C17" s="1014"/>
      <c r="D17" s="1014"/>
      <c r="E17" s="1014"/>
      <c r="F17" s="1014"/>
      <c r="G17" s="3">
        <f>MATRIZ!I38</f>
        <v>159.76</v>
      </c>
      <c r="H17" s="317">
        <f t="shared" si="1"/>
        <v>3.19</v>
      </c>
      <c r="I17" s="260">
        <f t="shared" si="7"/>
        <v>31.95</v>
      </c>
      <c r="J17" s="260">
        <f t="shared" si="8"/>
        <v>7.98</v>
      </c>
      <c r="K17" s="260">
        <f t="shared" si="4"/>
        <v>7.98</v>
      </c>
      <c r="L17" s="260">
        <f t="shared" si="0"/>
        <v>9.58</v>
      </c>
      <c r="M17" s="260">
        <f t="shared" si="9"/>
        <v>4.79</v>
      </c>
      <c r="N17" s="260" t="s">
        <v>22</v>
      </c>
      <c r="O17" s="260">
        <f>MATRIZ!$I$382</f>
        <v>2.87</v>
      </c>
      <c r="P17" s="331">
        <f t="shared" si="10"/>
        <v>228.09999999999997</v>
      </c>
    </row>
    <row r="18" spans="2:16" ht="27.75" customHeight="1" x14ac:dyDescent="0.2">
      <c r="B18" s="1013" t="s">
        <v>21</v>
      </c>
      <c r="C18" s="1014"/>
      <c r="D18" s="1014"/>
      <c r="E18" s="1014"/>
      <c r="F18" s="1014"/>
      <c r="G18" s="3">
        <f>MATRIZ!I39</f>
        <v>61.44</v>
      </c>
      <c r="H18" s="317">
        <f t="shared" si="1"/>
        <v>1.22</v>
      </c>
      <c r="I18" s="260">
        <f t="shared" ref="I18:I27" si="11">TRUNC(G18*20%,2)</f>
        <v>12.28</v>
      </c>
      <c r="J18" s="260">
        <f t="shared" ref="J18:J27" si="12">TRUNC(G18*5%,2)</f>
        <v>3.07</v>
      </c>
      <c r="K18" s="260">
        <f t="shared" si="4"/>
        <v>3.07</v>
      </c>
      <c r="L18" s="260">
        <f t="shared" si="0"/>
        <v>3.68</v>
      </c>
      <c r="M18" s="260">
        <f t="shared" ref="M18:M27" si="13">TRUNC(G18*3%,2)</f>
        <v>1.84</v>
      </c>
      <c r="N18" s="260" t="s">
        <v>22</v>
      </c>
      <c r="O18" s="260">
        <f>MATRIZ!$I$382</f>
        <v>2.87</v>
      </c>
      <c r="P18" s="331">
        <f t="shared" ref="P18:P27" si="14">SUM(G18:O18)</f>
        <v>89.47</v>
      </c>
    </row>
    <row r="19" spans="2:16" ht="21" customHeight="1" x14ac:dyDescent="0.2">
      <c r="B19" s="1013" t="s">
        <v>23</v>
      </c>
      <c r="C19" s="1014"/>
      <c r="D19" s="1014"/>
      <c r="E19" s="1014"/>
      <c r="F19" s="1014"/>
      <c r="G19" s="3">
        <f>MATRIZ!I40</f>
        <v>208.92</v>
      </c>
      <c r="H19" s="317">
        <f t="shared" si="1"/>
        <v>4.17</v>
      </c>
      <c r="I19" s="260">
        <f t="shared" si="11"/>
        <v>41.78</v>
      </c>
      <c r="J19" s="260">
        <f t="shared" si="12"/>
        <v>10.44</v>
      </c>
      <c r="K19" s="260">
        <f t="shared" si="4"/>
        <v>10.44</v>
      </c>
      <c r="L19" s="260">
        <f t="shared" si="0"/>
        <v>12.53</v>
      </c>
      <c r="M19" s="260">
        <f t="shared" si="13"/>
        <v>6.26</v>
      </c>
      <c r="N19" s="260" t="s">
        <v>22</v>
      </c>
      <c r="O19" s="260">
        <f>MATRIZ!$I$382</f>
        <v>2.87</v>
      </c>
      <c r="P19" s="331">
        <f t="shared" si="14"/>
        <v>297.40999999999997</v>
      </c>
    </row>
    <row r="20" spans="2:16" ht="15" customHeight="1" x14ac:dyDescent="0.2">
      <c r="B20" s="1011" t="s">
        <v>467</v>
      </c>
      <c r="C20" s="1012"/>
      <c r="D20" s="1012"/>
      <c r="E20" s="1012"/>
      <c r="F20" s="1012"/>
      <c r="G20" s="3">
        <f>TRUNC(5%*MATRIZ!I40,2)</f>
        <v>10.44</v>
      </c>
      <c r="H20" s="317">
        <f t="shared" si="1"/>
        <v>0.2</v>
      </c>
      <c r="I20" s="260">
        <f t="shared" si="11"/>
        <v>2.08</v>
      </c>
      <c r="J20" s="260">
        <f t="shared" si="12"/>
        <v>0.52</v>
      </c>
      <c r="K20" s="260">
        <f t="shared" si="4"/>
        <v>0.52</v>
      </c>
      <c r="L20" s="260">
        <f t="shared" si="0"/>
        <v>0.62</v>
      </c>
      <c r="M20" s="260">
        <f t="shared" si="13"/>
        <v>0.31</v>
      </c>
      <c r="N20" s="260" t="s">
        <v>22</v>
      </c>
      <c r="O20" s="260" t="s">
        <v>22</v>
      </c>
      <c r="P20" s="331">
        <f t="shared" si="14"/>
        <v>14.689999999999998</v>
      </c>
    </row>
    <row r="21" spans="2:16" ht="18.75" customHeight="1" x14ac:dyDescent="0.2">
      <c r="B21" s="1013" t="s">
        <v>24</v>
      </c>
      <c r="C21" s="1014"/>
      <c r="D21" s="1014"/>
      <c r="E21" s="1014"/>
      <c r="F21" s="1014"/>
      <c r="G21" s="3">
        <f>MATRIZ!I41</f>
        <v>135.18</v>
      </c>
      <c r="H21" s="317">
        <f t="shared" si="1"/>
        <v>2.7</v>
      </c>
      <c r="I21" s="260">
        <f t="shared" si="11"/>
        <v>27.03</v>
      </c>
      <c r="J21" s="260">
        <f t="shared" si="12"/>
        <v>6.75</v>
      </c>
      <c r="K21" s="260">
        <f t="shared" si="4"/>
        <v>6.75</v>
      </c>
      <c r="L21" s="260">
        <f t="shared" si="0"/>
        <v>8.11</v>
      </c>
      <c r="M21" s="260">
        <f t="shared" si="13"/>
        <v>4.05</v>
      </c>
      <c r="N21" s="260" t="s">
        <v>22</v>
      </c>
      <c r="O21" s="260">
        <f>MATRIZ!$I$382</f>
        <v>2.87</v>
      </c>
      <c r="P21" s="331">
        <f t="shared" si="14"/>
        <v>193.44</v>
      </c>
    </row>
    <row r="22" spans="2:16" ht="14.25" customHeight="1" x14ac:dyDescent="0.2">
      <c r="B22" s="1011" t="s">
        <v>468</v>
      </c>
      <c r="C22" s="1012"/>
      <c r="D22" s="1012"/>
      <c r="E22" s="1012"/>
      <c r="F22" s="1012"/>
      <c r="G22" s="3">
        <f>TRUNC(5%*MATRIZ!I41,2)</f>
        <v>6.75</v>
      </c>
      <c r="H22" s="317">
        <f t="shared" si="1"/>
        <v>0.13</v>
      </c>
      <c r="I22" s="260">
        <f t="shared" si="11"/>
        <v>1.35</v>
      </c>
      <c r="J22" s="260">
        <f t="shared" si="12"/>
        <v>0.33</v>
      </c>
      <c r="K22" s="260">
        <f t="shared" si="4"/>
        <v>0.33</v>
      </c>
      <c r="L22" s="260">
        <f t="shared" si="0"/>
        <v>0.4</v>
      </c>
      <c r="M22" s="260">
        <f t="shared" si="13"/>
        <v>0.2</v>
      </c>
      <c r="N22" s="260" t="s">
        <v>22</v>
      </c>
      <c r="O22" s="260" t="s">
        <v>22</v>
      </c>
      <c r="P22" s="331">
        <f t="shared" si="14"/>
        <v>9.49</v>
      </c>
    </row>
    <row r="23" spans="2:16" ht="14.25" customHeight="1" x14ac:dyDescent="0.2">
      <c r="B23" s="1011" t="s">
        <v>25</v>
      </c>
      <c r="C23" s="1012"/>
      <c r="D23" s="1012"/>
      <c r="E23" s="1012"/>
      <c r="F23" s="1012"/>
      <c r="G23" s="3">
        <f>MATRIZ!I42</f>
        <v>196.63</v>
      </c>
      <c r="H23" s="317">
        <f t="shared" si="1"/>
        <v>3.93</v>
      </c>
      <c r="I23" s="260">
        <f t="shared" si="11"/>
        <v>39.32</v>
      </c>
      <c r="J23" s="260">
        <f t="shared" si="12"/>
        <v>9.83</v>
      </c>
      <c r="K23" s="260">
        <f t="shared" si="4"/>
        <v>9.83</v>
      </c>
      <c r="L23" s="260">
        <f t="shared" si="0"/>
        <v>11.79</v>
      </c>
      <c r="M23" s="260">
        <f t="shared" si="13"/>
        <v>5.89</v>
      </c>
      <c r="N23" s="260" t="s">
        <v>22</v>
      </c>
      <c r="O23" s="260">
        <f>MATRIZ!$I$382</f>
        <v>2.87</v>
      </c>
      <c r="P23" s="331">
        <f t="shared" si="14"/>
        <v>280.09000000000003</v>
      </c>
    </row>
    <row r="24" spans="2:16" ht="14.25" customHeight="1" x14ac:dyDescent="0.2">
      <c r="B24" s="1011" t="s">
        <v>26</v>
      </c>
      <c r="C24" s="1012"/>
      <c r="D24" s="1012"/>
      <c r="E24" s="1012"/>
      <c r="F24" s="1012"/>
      <c r="G24" s="3">
        <f>MATRIZ!I43</f>
        <v>122.89</v>
      </c>
      <c r="H24" s="317">
        <f t="shared" si="1"/>
        <v>2.4500000000000002</v>
      </c>
      <c r="I24" s="260">
        <f t="shared" si="11"/>
        <v>24.57</v>
      </c>
      <c r="J24" s="260">
        <f t="shared" si="12"/>
        <v>6.14</v>
      </c>
      <c r="K24" s="260">
        <f t="shared" si="4"/>
        <v>6.14</v>
      </c>
      <c r="L24" s="260">
        <f t="shared" si="0"/>
        <v>7.37</v>
      </c>
      <c r="M24" s="260">
        <f t="shared" si="13"/>
        <v>3.68</v>
      </c>
      <c r="N24" s="260" t="s">
        <v>22</v>
      </c>
      <c r="O24" s="260">
        <f>MATRIZ!$I$382</f>
        <v>2.87</v>
      </c>
      <c r="P24" s="331">
        <f t="shared" si="14"/>
        <v>176.10999999999999</v>
      </c>
    </row>
    <row r="25" spans="2:16" ht="14.25" customHeight="1" x14ac:dyDescent="0.2">
      <c r="B25" s="1011" t="s">
        <v>27</v>
      </c>
      <c r="C25" s="1012"/>
      <c r="D25" s="1012"/>
      <c r="E25" s="1012"/>
      <c r="F25" s="1012"/>
      <c r="G25" s="3">
        <f>MATRIZ!I44</f>
        <v>270.38</v>
      </c>
      <c r="H25" s="317">
        <f t="shared" si="1"/>
        <v>5.4</v>
      </c>
      <c r="I25" s="260">
        <f t="shared" si="11"/>
        <v>54.07</v>
      </c>
      <c r="J25" s="260">
        <f t="shared" si="12"/>
        <v>13.51</v>
      </c>
      <c r="K25" s="260">
        <f t="shared" si="4"/>
        <v>13.51</v>
      </c>
      <c r="L25" s="260">
        <f t="shared" si="0"/>
        <v>16.22</v>
      </c>
      <c r="M25" s="260">
        <f t="shared" si="13"/>
        <v>8.11</v>
      </c>
      <c r="N25" s="260" t="s">
        <v>22</v>
      </c>
      <c r="O25" s="260">
        <f>MATRIZ!$I$382</f>
        <v>2.87</v>
      </c>
      <c r="P25" s="331">
        <f t="shared" si="14"/>
        <v>384.06999999999994</v>
      </c>
    </row>
    <row r="26" spans="2:16" ht="14.25" customHeight="1" x14ac:dyDescent="0.2">
      <c r="B26" s="1011" t="s">
        <v>28</v>
      </c>
      <c r="C26" s="1012"/>
      <c r="D26" s="1012"/>
      <c r="E26" s="1012"/>
      <c r="F26" s="1012"/>
      <c r="G26" s="3">
        <f>MATRIZ!I45</f>
        <v>258.08999999999997</v>
      </c>
      <c r="H26" s="317">
        <f t="shared" si="1"/>
        <v>5.16</v>
      </c>
      <c r="I26" s="260">
        <f t="shared" si="11"/>
        <v>51.61</v>
      </c>
      <c r="J26" s="260">
        <f t="shared" si="12"/>
        <v>12.9</v>
      </c>
      <c r="K26" s="260">
        <f t="shared" si="4"/>
        <v>12.9</v>
      </c>
      <c r="L26" s="260">
        <f t="shared" si="0"/>
        <v>15.48</v>
      </c>
      <c r="M26" s="260">
        <f t="shared" si="13"/>
        <v>7.74</v>
      </c>
      <c r="N26" s="260" t="s">
        <v>22</v>
      </c>
      <c r="O26" s="260">
        <f>MATRIZ!$I$382</f>
        <v>2.87</v>
      </c>
      <c r="P26" s="331">
        <f t="shared" si="14"/>
        <v>366.75</v>
      </c>
    </row>
    <row r="27" spans="2:16" ht="14.25" customHeight="1" x14ac:dyDescent="0.2">
      <c r="B27" s="1011" t="s">
        <v>29</v>
      </c>
      <c r="C27" s="1012"/>
      <c r="D27" s="1012"/>
      <c r="E27" s="1012"/>
      <c r="F27" s="1012"/>
      <c r="G27" s="3">
        <f>MATRIZ!I46</f>
        <v>36.86</v>
      </c>
      <c r="H27" s="317">
        <f t="shared" si="1"/>
        <v>0.73</v>
      </c>
      <c r="I27" s="260">
        <f t="shared" si="11"/>
        <v>7.37</v>
      </c>
      <c r="J27" s="260">
        <f t="shared" si="12"/>
        <v>1.84</v>
      </c>
      <c r="K27" s="260">
        <f t="shared" si="4"/>
        <v>1.84</v>
      </c>
      <c r="L27" s="260">
        <f t="shared" si="0"/>
        <v>2.21</v>
      </c>
      <c r="M27" s="260">
        <f t="shared" si="13"/>
        <v>1.1000000000000001</v>
      </c>
      <c r="N27" s="260" t="s">
        <v>22</v>
      </c>
      <c r="O27" s="260">
        <f>MATRIZ!$I$382</f>
        <v>2.87</v>
      </c>
      <c r="P27" s="331">
        <f t="shared" si="14"/>
        <v>54.82</v>
      </c>
    </row>
    <row r="28" spans="2:16" ht="46.5" customHeight="1" x14ac:dyDescent="0.2">
      <c r="B28" s="1013" t="s">
        <v>30</v>
      </c>
      <c r="C28" s="1014"/>
      <c r="D28" s="1014"/>
      <c r="E28" s="1014"/>
      <c r="F28" s="1014"/>
      <c r="G28" s="3">
        <f>MATRIZ!I47</f>
        <v>122.89</v>
      </c>
      <c r="H28" s="317">
        <f t="shared" si="1"/>
        <v>2.4500000000000002</v>
      </c>
      <c r="I28" s="260">
        <f t="shared" ref="I28:I32" si="15">TRUNC(G28*20%,2)</f>
        <v>24.57</v>
      </c>
      <c r="J28" s="260">
        <f t="shared" ref="J28:J32" si="16">TRUNC(G28*5%,2)</f>
        <v>6.14</v>
      </c>
      <c r="K28" s="260">
        <f t="shared" si="4"/>
        <v>6.14</v>
      </c>
      <c r="L28" s="260">
        <f t="shared" si="0"/>
        <v>7.37</v>
      </c>
      <c r="M28" s="260">
        <f t="shared" ref="M28:M32" si="17">TRUNC(G28*3%,2)</f>
        <v>3.68</v>
      </c>
      <c r="N28" s="260" t="s">
        <v>22</v>
      </c>
      <c r="O28" s="260">
        <f>MATRIZ!$I$382</f>
        <v>2.87</v>
      </c>
      <c r="P28" s="331">
        <f t="shared" ref="P28:P32" si="18">SUM(G28:O28)</f>
        <v>176.10999999999999</v>
      </c>
    </row>
    <row r="29" spans="2:16" ht="14.25" customHeight="1" x14ac:dyDescent="0.2">
      <c r="B29" s="1011" t="s">
        <v>469</v>
      </c>
      <c r="C29" s="1012"/>
      <c r="D29" s="1012"/>
      <c r="E29" s="1012"/>
      <c r="F29" s="1012"/>
      <c r="G29" s="3">
        <f>TRUNC(5%*MATRIZ!I47,2)</f>
        <v>6.14</v>
      </c>
      <c r="H29" s="317">
        <f t="shared" si="1"/>
        <v>0.12</v>
      </c>
      <c r="I29" s="260">
        <f t="shared" si="15"/>
        <v>1.22</v>
      </c>
      <c r="J29" s="260">
        <f t="shared" si="16"/>
        <v>0.3</v>
      </c>
      <c r="K29" s="260">
        <f t="shared" si="4"/>
        <v>0.3</v>
      </c>
      <c r="L29" s="260">
        <f t="shared" si="0"/>
        <v>0.36</v>
      </c>
      <c r="M29" s="260">
        <f t="shared" si="17"/>
        <v>0.18</v>
      </c>
      <c r="N29" s="260" t="s">
        <v>22</v>
      </c>
      <c r="O29" s="260" t="s">
        <v>22</v>
      </c>
      <c r="P29" s="331">
        <f t="shared" si="18"/>
        <v>8.6199999999999992</v>
      </c>
    </row>
    <row r="30" spans="2:16" ht="47.25" customHeight="1" x14ac:dyDescent="0.2">
      <c r="B30" s="1013" t="s">
        <v>31</v>
      </c>
      <c r="C30" s="1014"/>
      <c r="D30" s="1014"/>
      <c r="E30" s="1014"/>
      <c r="F30" s="1014"/>
      <c r="G30" s="3">
        <f>MATRIZ!I48</f>
        <v>208.92</v>
      </c>
      <c r="H30" s="317">
        <f t="shared" si="1"/>
        <v>4.17</v>
      </c>
      <c r="I30" s="260">
        <f t="shared" si="15"/>
        <v>41.78</v>
      </c>
      <c r="J30" s="260">
        <f t="shared" si="16"/>
        <v>10.44</v>
      </c>
      <c r="K30" s="260">
        <f t="shared" si="4"/>
        <v>10.44</v>
      </c>
      <c r="L30" s="260">
        <f t="shared" si="0"/>
        <v>12.53</v>
      </c>
      <c r="M30" s="260">
        <f t="shared" si="17"/>
        <v>6.26</v>
      </c>
      <c r="N30" s="260" t="s">
        <v>22</v>
      </c>
      <c r="O30" s="260">
        <f>MATRIZ!$I$382</f>
        <v>2.87</v>
      </c>
      <c r="P30" s="331">
        <f t="shared" si="18"/>
        <v>297.40999999999997</v>
      </c>
    </row>
    <row r="31" spans="2:16" ht="30" customHeight="1" x14ac:dyDescent="0.2">
      <c r="B31" s="1011" t="s">
        <v>32</v>
      </c>
      <c r="C31" s="1012"/>
      <c r="D31" s="1012"/>
      <c r="E31" s="1012"/>
      <c r="F31" s="1012"/>
      <c r="G31" s="3">
        <f>MATRIZ!I49</f>
        <v>208.92</v>
      </c>
      <c r="H31" s="317">
        <f t="shared" si="1"/>
        <v>4.17</v>
      </c>
      <c r="I31" s="260">
        <f t="shared" si="15"/>
        <v>41.78</v>
      </c>
      <c r="J31" s="260">
        <f t="shared" si="16"/>
        <v>10.44</v>
      </c>
      <c r="K31" s="260">
        <f t="shared" si="4"/>
        <v>10.44</v>
      </c>
      <c r="L31" s="260">
        <f t="shared" si="0"/>
        <v>12.53</v>
      </c>
      <c r="M31" s="260">
        <f t="shared" si="17"/>
        <v>6.26</v>
      </c>
      <c r="N31" s="260" t="s">
        <v>22</v>
      </c>
      <c r="O31" s="260">
        <f>MATRIZ!$I$382</f>
        <v>2.87</v>
      </c>
      <c r="P31" s="331">
        <f t="shared" si="18"/>
        <v>297.40999999999997</v>
      </c>
    </row>
    <row r="32" spans="2:16" ht="21" customHeight="1" thickBot="1" x14ac:dyDescent="0.25">
      <c r="B32" s="1015" t="s">
        <v>465</v>
      </c>
      <c r="C32" s="1016"/>
      <c r="D32" s="1016"/>
      <c r="E32" s="1016"/>
      <c r="F32" s="1016"/>
      <c r="G32" s="263">
        <f>MATRIZ!I41</f>
        <v>135.18</v>
      </c>
      <c r="H32" s="88">
        <f t="shared" si="1"/>
        <v>2.7</v>
      </c>
      <c r="I32" s="340">
        <f t="shared" si="15"/>
        <v>27.03</v>
      </c>
      <c r="J32" s="340">
        <f t="shared" si="16"/>
        <v>6.75</v>
      </c>
      <c r="K32" s="340">
        <f t="shared" si="4"/>
        <v>6.75</v>
      </c>
      <c r="L32" s="340">
        <f t="shared" si="0"/>
        <v>8.11</v>
      </c>
      <c r="M32" s="340">
        <f t="shared" si="17"/>
        <v>4.05</v>
      </c>
      <c r="N32" s="340" t="s">
        <v>22</v>
      </c>
      <c r="O32" s="340" t="s">
        <v>22</v>
      </c>
      <c r="P32" s="341">
        <f t="shared" si="18"/>
        <v>190.57</v>
      </c>
    </row>
    <row r="34" spans="2:16" ht="15.75" x14ac:dyDescent="0.25">
      <c r="B34" s="265"/>
      <c r="C34" s="266"/>
      <c r="D34" s="26"/>
      <c r="E34" s="267"/>
      <c r="F34" s="267" t="s">
        <v>514</v>
      </c>
      <c r="G34" s="266"/>
      <c r="H34" s="268"/>
      <c r="I34" s="25"/>
      <c r="J34" s="25"/>
      <c r="K34" s="25"/>
      <c r="L34" s="25"/>
      <c r="M34" s="25"/>
      <c r="N34" s="25"/>
      <c r="O34" s="25"/>
      <c r="P34" s="269"/>
    </row>
    <row r="35" spans="2:16" x14ac:dyDescent="0.2">
      <c r="B35" s="1017" t="s">
        <v>634</v>
      </c>
      <c r="C35" s="1018"/>
      <c r="D35" s="1018"/>
      <c r="E35" s="1018"/>
      <c r="F35" s="1018"/>
      <c r="G35" s="1018"/>
      <c r="H35" s="1018"/>
      <c r="I35" s="1018"/>
      <c r="J35" s="1018"/>
      <c r="K35" s="1018"/>
      <c r="L35" s="1018"/>
      <c r="M35" s="1018"/>
      <c r="N35" s="1018"/>
      <c r="O35" s="1018"/>
      <c r="P35" s="1019"/>
    </row>
    <row r="36" spans="2:16" x14ac:dyDescent="0.2">
      <c r="B36" s="1020" t="s">
        <v>635</v>
      </c>
      <c r="C36" s="825"/>
      <c r="D36" s="825"/>
      <c r="E36" s="825"/>
      <c r="F36" s="825"/>
      <c r="G36" s="825"/>
      <c r="H36" s="825"/>
      <c r="I36" s="825"/>
      <c r="J36" s="825"/>
      <c r="K36" s="825"/>
      <c r="L36" s="825"/>
      <c r="M36" s="825"/>
      <c r="N36" s="825"/>
      <c r="O36" s="825"/>
      <c r="P36" s="1021"/>
    </row>
  </sheetData>
  <sheetProtection selectLockedCells="1" selectUnlockedCells="1"/>
  <mergeCells count="32">
    <mergeCell ref="B35:P35"/>
    <mergeCell ref="B36:P36"/>
    <mergeCell ref="P2:P3"/>
    <mergeCell ref="B4:F4"/>
    <mergeCell ref="B1:F1"/>
    <mergeCell ref="G1:P1"/>
    <mergeCell ref="B2:F3"/>
    <mergeCell ref="G2:G3"/>
    <mergeCell ref="B16:F16"/>
    <mergeCell ref="N2:N3"/>
    <mergeCell ref="O2:O3"/>
    <mergeCell ref="B5:F5"/>
    <mergeCell ref="B6:F6"/>
    <mergeCell ref="B14:F14"/>
    <mergeCell ref="B15:F15"/>
    <mergeCell ref="D13:E13"/>
    <mergeCell ref="B29:F29"/>
    <mergeCell ref="B30:F30"/>
    <mergeCell ref="B32:F32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31:F31"/>
  </mergeCells>
  <printOptions horizontalCentered="1"/>
  <pageMargins left="0" right="0" top="0.59055118110236227" bottom="0" header="0" footer="0.31496062992125984"/>
  <pageSetup paperSize="9" scale="7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22"/>
  </sheetPr>
  <dimension ref="B1:R75"/>
  <sheetViews>
    <sheetView showGridLines="0" zoomScale="85" zoomScaleNormal="85" workbookViewId="0">
      <pane ySplit="5" topLeftCell="A6" activePane="bottomLeft" state="frozen"/>
      <selection activeCell="L275" sqref="L275"/>
      <selection pane="bottomLeft" activeCell="L275" sqref="L275"/>
    </sheetView>
  </sheetViews>
  <sheetFormatPr defaultRowHeight="15.75" x14ac:dyDescent="0.25"/>
  <cols>
    <col min="1" max="1" width="4.28515625" style="1" customWidth="1"/>
    <col min="2" max="2" width="5.85546875" style="1" customWidth="1"/>
    <col min="3" max="3" width="20" style="1" customWidth="1"/>
    <col min="4" max="4" width="11.42578125" style="9" customWidth="1"/>
    <col min="5" max="5" width="27.5703125" style="1" customWidth="1"/>
    <col min="6" max="6" width="17.42578125" style="1" customWidth="1"/>
    <col min="7" max="7" width="14.42578125" style="1" customWidth="1"/>
    <col min="8" max="8" width="11.42578125" style="1" customWidth="1"/>
    <col min="9" max="9" width="11" style="1" customWidth="1"/>
    <col min="10" max="10" width="10.7109375" style="1" customWidth="1"/>
    <col min="11" max="11" width="11.85546875" style="1" customWidth="1"/>
    <col min="12" max="12" width="11.28515625" style="1" customWidth="1"/>
    <col min="13" max="13" width="10.85546875" style="1" customWidth="1"/>
    <col min="14" max="14" width="9.28515625" style="1" customWidth="1"/>
    <col min="15" max="15" width="8.28515625" style="1" customWidth="1"/>
    <col min="16" max="16" width="16.42578125" style="99" customWidth="1"/>
    <col min="17" max="17" width="9.140625" style="1"/>
    <col min="18" max="18" width="15.7109375" style="1" bestFit="1" customWidth="1"/>
    <col min="19" max="16384" width="9.140625" style="1"/>
  </cols>
  <sheetData>
    <row r="1" spans="2:18" ht="11.25" customHeight="1" x14ac:dyDescent="0.2">
      <c r="B1" s="1047" t="str">
        <f>MATRIZ!B1</f>
        <v>PORTARIA n.º 423/2025</v>
      </c>
      <c r="C1" s="1048"/>
      <c r="D1" s="1048"/>
      <c r="E1" s="1048"/>
      <c r="F1" s="1049"/>
      <c r="G1" s="1053" t="s">
        <v>164</v>
      </c>
      <c r="H1" s="1054"/>
      <c r="I1" s="1054"/>
      <c r="J1" s="1054"/>
      <c r="K1" s="1054"/>
      <c r="L1" s="1054"/>
      <c r="M1" s="1054"/>
      <c r="N1" s="1054"/>
      <c r="O1" s="1054"/>
      <c r="P1" s="1055"/>
    </row>
    <row r="2" spans="2:18" ht="14.25" customHeight="1" x14ac:dyDescent="0.2">
      <c r="B2" s="1050"/>
      <c r="C2" s="1051"/>
      <c r="D2" s="1051"/>
      <c r="E2" s="1051"/>
      <c r="F2" s="1052"/>
      <c r="G2" s="1056"/>
      <c r="H2" s="1057"/>
      <c r="I2" s="1057"/>
      <c r="J2" s="1057"/>
      <c r="K2" s="1057"/>
      <c r="L2" s="1057"/>
      <c r="M2" s="1057"/>
      <c r="N2" s="1057"/>
      <c r="O2" s="1057"/>
      <c r="P2" s="1058"/>
    </row>
    <row r="3" spans="2:18" ht="4.5" customHeight="1" x14ac:dyDescent="0.25">
      <c r="B3" s="270"/>
      <c r="C3" s="91"/>
      <c r="D3" s="92"/>
      <c r="E3" s="91"/>
      <c r="F3" s="93"/>
      <c r="G3" s="94"/>
      <c r="P3" s="437"/>
    </row>
    <row r="4" spans="2:18" ht="17.25" customHeight="1" x14ac:dyDescent="0.2">
      <c r="B4" s="1059" t="s">
        <v>251</v>
      </c>
      <c r="C4" s="1060"/>
      <c r="D4" s="1060"/>
      <c r="E4" s="1060"/>
      <c r="F4" s="1061"/>
      <c r="G4" s="1062" t="s">
        <v>59</v>
      </c>
      <c r="H4" s="431">
        <v>0.02</v>
      </c>
      <c r="I4" s="382">
        <v>0.2</v>
      </c>
      <c r="J4" s="382">
        <v>0.05</v>
      </c>
      <c r="K4" s="382">
        <v>0.05</v>
      </c>
      <c r="L4" s="382">
        <v>0.06</v>
      </c>
      <c r="M4" s="382">
        <v>0.03</v>
      </c>
      <c r="N4" s="874" t="s">
        <v>55</v>
      </c>
      <c r="O4" s="874" t="s">
        <v>6</v>
      </c>
      <c r="P4" s="1063" t="s">
        <v>37</v>
      </c>
    </row>
    <row r="5" spans="2:18" ht="14.25" customHeight="1" x14ac:dyDescent="0.2">
      <c r="B5" s="1065" t="s">
        <v>252</v>
      </c>
      <c r="C5" s="1066"/>
      <c r="D5" s="1066"/>
      <c r="E5" s="1066"/>
      <c r="F5" s="1067"/>
      <c r="G5" s="1062"/>
      <c r="H5" s="328" t="s">
        <v>40</v>
      </c>
      <c r="I5" s="313" t="s">
        <v>41</v>
      </c>
      <c r="J5" s="313" t="s">
        <v>109</v>
      </c>
      <c r="K5" s="313" t="s">
        <v>43</v>
      </c>
      <c r="L5" s="313" t="s">
        <v>508</v>
      </c>
      <c r="M5" s="313" t="s">
        <v>5</v>
      </c>
      <c r="N5" s="785"/>
      <c r="O5" s="785"/>
      <c r="P5" s="1064"/>
    </row>
    <row r="6" spans="2:18" s="2" customFormat="1" ht="22.5" customHeight="1" x14ac:dyDescent="0.2">
      <c r="B6" s="250" t="s">
        <v>166</v>
      </c>
      <c r="C6" s="434">
        <f>MATRIZ!C301</f>
        <v>0.01</v>
      </c>
      <c r="D6" s="435" t="s">
        <v>11</v>
      </c>
      <c r="E6" s="434">
        <f>MATRIZ!G301</f>
        <v>2212.21</v>
      </c>
      <c r="F6" s="436"/>
      <c r="G6" s="237">
        <f>MATRIZ!I301</f>
        <v>256.86</v>
      </c>
      <c r="H6" s="427">
        <f>TRUNC(G6*2%,2)</f>
        <v>5.13</v>
      </c>
      <c r="I6" s="427">
        <f>TRUNC(G6*20%,2)</f>
        <v>51.37</v>
      </c>
      <c r="J6" s="427">
        <f>TRUNC(G6*5%,2)</f>
        <v>12.84</v>
      </c>
      <c r="K6" s="427">
        <f>TRUNC(G6*5%,2)</f>
        <v>12.84</v>
      </c>
      <c r="L6" s="427">
        <f>TRUNC(G6*6%,2)</f>
        <v>15.41</v>
      </c>
      <c r="M6" s="427">
        <f>TRUNC(G6*3%,2)</f>
        <v>7.7</v>
      </c>
      <c r="N6" s="428" t="s">
        <v>22</v>
      </c>
      <c r="O6" s="429">
        <f>MATRIZ!$I$382</f>
        <v>2.87</v>
      </c>
      <c r="P6" s="438">
        <f>SUM(G6:O6)</f>
        <v>365.02</v>
      </c>
    </row>
    <row r="7" spans="2:18" ht="13.5" customHeight="1" x14ac:dyDescent="0.25">
      <c r="B7" s="18" t="s">
        <v>12</v>
      </c>
      <c r="C7" s="434">
        <f>MATRIZ!C302</f>
        <v>2212.2200000000003</v>
      </c>
      <c r="D7" s="433" t="s">
        <v>11</v>
      </c>
      <c r="E7" s="434">
        <f>MATRIZ!G302</f>
        <v>5407.63</v>
      </c>
      <c r="F7" s="6"/>
      <c r="G7" s="237">
        <f>MATRIZ!I302</f>
        <v>386.63</v>
      </c>
      <c r="H7" s="428">
        <f>TRUNC(G7*2%,2)</f>
        <v>7.73</v>
      </c>
      <c r="I7" s="428">
        <f>TRUNC(G7*20%,2)</f>
        <v>77.319999999999993</v>
      </c>
      <c r="J7" s="428">
        <f>TRUNC(G7*5%,2)</f>
        <v>19.329999999999998</v>
      </c>
      <c r="K7" s="428">
        <f>TRUNC(G7*5%,2)</f>
        <v>19.329999999999998</v>
      </c>
      <c r="L7" s="428">
        <f t="shared" ref="L7:L52" si="0">TRUNC(G7*6%,2)</f>
        <v>23.19</v>
      </c>
      <c r="M7" s="428">
        <f>TRUNC(G7*3%,2)</f>
        <v>11.59</v>
      </c>
      <c r="N7" s="428" t="s">
        <v>22</v>
      </c>
      <c r="O7" s="428">
        <f>MATRIZ!$I$382</f>
        <v>2.87</v>
      </c>
      <c r="P7" s="439">
        <f>SUM(G7:O7)</f>
        <v>547.99</v>
      </c>
      <c r="R7" s="95"/>
    </row>
    <row r="8" spans="2:18" ht="15" x14ac:dyDescent="0.25">
      <c r="B8" s="18" t="s">
        <v>13</v>
      </c>
      <c r="C8" s="434">
        <f>MATRIZ!C303</f>
        <v>5407.64</v>
      </c>
      <c r="D8" s="433" t="s">
        <v>11</v>
      </c>
      <c r="E8" s="434">
        <f>MATRIZ!G303</f>
        <v>8848.85</v>
      </c>
      <c r="F8" s="6"/>
      <c r="G8" s="237">
        <f>MATRIZ!I303</f>
        <v>558.32000000000005</v>
      </c>
      <c r="H8" s="428">
        <f t="shared" ref="H8:H46" si="1">TRUNC(G8*2%,2)</f>
        <v>11.16</v>
      </c>
      <c r="I8" s="428">
        <f t="shared" ref="I8:I30" si="2">TRUNC(G8*20%,2)</f>
        <v>111.66</v>
      </c>
      <c r="J8" s="428">
        <f t="shared" ref="J8:J30" si="3">TRUNC(G8*5%,2)</f>
        <v>27.91</v>
      </c>
      <c r="K8" s="428">
        <f t="shared" ref="K8:K30" si="4">TRUNC(G8*5%,2)</f>
        <v>27.91</v>
      </c>
      <c r="L8" s="428">
        <f t="shared" si="0"/>
        <v>33.49</v>
      </c>
      <c r="M8" s="428">
        <f t="shared" ref="M8:M30" si="5">TRUNC(G8*3%,2)</f>
        <v>16.739999999999998</v>
      </c>
      <c r="N8" s="428" t="s">
        <v>22</v>
      </c>
      <c r="O8" s="428">
        <f>MATRIZ!$I$382</f>
        <v>2.87</v>
      </c>
      <c r="P8" s="439">
        <f t="shared" ref="P8:P30" si="6">SUM(G8:O8)</f>
        <v>790.06</v>
      </c>
      <c r="R8" s="95"/>
    </row>
    <row r="9" spans="2:18" ht="15" customHeight="1" x14ac:dyDescent="0.25">
      <c r="B9" s="18" t="s">
        <v>14</v>
      </c>
      <c r="C9" s="434">
        <f>MATRIZ!C304</f>
        <v>8848.86</v>
      </c>
      <c r="D9" s="433" t="s">
        <v>11</v>
      </c>
      <c r="E9" s="434">
        <f>MATRIZ!G304</f>
        <v>17820.599999999999</v>
      </c>
      <c r="F9" s="6"/>
      <c r="G9" s="237">
        <f>MATRIZ!I304</f>
        <v>838.17</v>
      </c>
      <c r="H9" s="428">
        <f t="shared" si="1"/>
        <v>16.760000000000002</v>
      </c>
      <c r="I9" s="428">
        <f t="shared" si="2"/>
        <v>167.63</v>
      </c>
      <c r="J9" s="428">
        <f t="shared" si="3"/>
        <v>41.9</v>
      </c>
      <c r="K9" s="428">
        <f t="shared" si="4"/>
        <v>41.9</v>
      </c>
      <c r="L9" s="428">
        <f t="shared" si="0"/>
        <v>50.29</v>
      </c>
      <c r="M9" s="428">
        <f t="shared" si="5"/>
        <v>25.14</v>
      </c>
      <c r="N9" s="428" t="s">
        <v>22</v>
      </c>
      <c r="O9" s="428">
        <f>MATRIZ!$I$382</f>
        <v>2.87</v>
      </c>
      <c r="P9" s="439">
        <f t="shared" si="6"/>
        <v>1184.6600000000001</v>
      </c>
      <c r="R9" s="95"/>
    </row>
    <row r="10" spans="2:18" ht="15" customHeight="1" x14ac:dyDescent="0.25">
      <c r="B10" s="18" t="s">
        <v>15</v>
      </c>
      <c r="C10" s="434">
        <f>MATRIZ!C305</f>
        <v>17820.609999999997</v>
      </c>
      <c r="D10" s="433" t="s">
        <v>11</v>
      </c>
      <c r="E10" s="434">
        <f>MATRIZ!G305</f>
        <v>26792.36</v>
      </c>
      <c r="F10" s="6"/>
      <c r="G10" s="237">
        <f>MATRIZ!I305</f>
        <v>1289.71</v>
      </c>
      <c r="H10" s="428">
        <f t="shared" si="1"/>
        <v>25.79</v>
      </c>
      <c r="I10" s="428">
        <f t="shared" si="2"/>
        <v>257.94</v>
      </c>
      <c r="J10" s="428">
        <f t="shared" si="3"/>
        <v>64.48</v>
      </c>
      <c r="K10" s="428">
        <f t="shared" si="4"/>
        <v>64.48</v>
      </c>
      <c r="L10" s="428">
        <f t="shared" si="0"/>
        <v>77.38</v>
      </c>
      <c r="M10" s="428">
        <f t="shared" si="5"/>
        <v>38.69</v>
      </c>
      <c r="N10" s="428" t="s">
        <v>22</v>
      </c>
      <c r="O10" s="428">
        <f>MATRIZ!$I$382</f>
        <v>2.87</v>
      </c>
      <c r="P10" s="439">
        <f t="shared" si="6"/>
        <v>1821.3400000000001</v>
      </c>
      <c r="R10" s="95"/>
    </row>
    <row r="11" spans="2:18" ht="15" customHeight="1" x14ac:dyDescent="0.25">
      <c r="B11" s="18" t="s">
        <v>16</v>
      </c>
      <c r="C11" s="434">
        <f>MATRIZ!C306</f>
        <v>26792.37</v>
      </c>
      <c r="D11" s="433" t="s">
        <v>11</v>
      </c>
      <c r="E11" s="434">
        <f>MATRIZ!G306</f>
        <v>35764.129999999997</v>
      </c>
      <c r="F11" s="6"/>
      <c r="G11" s="237">
        <f>MATRIZ!I306</f>
        <v>1719.61</v>
      </c>
      <c r="H11" s="428">
        <f t="shared" si="1"/>
        <v>34.39</v>
      </c>
      <c r="I11" s="428">
        <f t="shared" si="2"/>
        <v>343.92</v>
      </c>
      <c r="J11" s="428">
        <f t="shared" si="3"/>
        <v>85.98</v>
      </c>
      <c r="K11" s="428">
        <f t="shared" si="4"/>
        <v>85.98</v>
      </c>
      <c r="L11" s="428">
        <f t="shared" si="0"/>
        <v>103.17</v>
      </c>
      <c r="M11" s="428">
        <f t="shared" si="5"/>
        <v>51.58</v>
      </c>
      <c r="N11" s="428" t="s">
        <v>22</v>
      </c>
      <c r="O11" s="428">
        <f>MATRIZ!$I$382</f>
        <v>2.87</v>
      </c>
      <c r="P11" s="439">
        <f t="shared" si="6"/>
        <v>2427.5</v>
      </c>
      <c r="R11" s="95"/>
    </row>
    <row r="12" spans="2:18" ht="15" x14ac:dyDescent="0.25">
      <c r="B12" s="18" t="s">
        <v>17</v>
      </c>
      <c r="C12" s="434">
        <f>MATRIZ!C307</f>
        <v>35764.14</v>
      </c>
      <c r="D12" s="433" t="s">
        <v>11</v>
      </c>
      <c r="E12" s="434">
        <f>MATRIZ!G307</f>
        <v>53584.74</v>
      </c>
      <c r="F12" s="6"/>
      <c r="G12" s="237">
        <f>MATRIZ!I307</f>
        <v>2149.52</v>
      </c>
      <c r="H12" s="428">
        <f t="shared" si="1"/>
        <v>42.99</v>
      </c>
      <c r="I12" s="428">
        <f t="shared" si="2"/>
        <v>429.9</v>
      </c>
      <c r="J12" s="428">
        <f t="shared" si="3"/>
        <v>107.47</v>
      </c>
      <c r="K12" s="428">
        <f t="shared" si="4"/>
        <v>107.47</v>
      </c>
      <c r="L12" s="428">
        <f t="shared" si="0"/>
        <v>128.97</v>
      </c>
      <c r="M12" s="428">
        <f t="shared" si="5"/>
        <v>64.48</v>
      </c>
      <c r="N12" s="428" t="s">
        <v>22</v>
      </c>
      <c r="O12" s="428">
        <f>MATRIZ!$I$382</f>
        <v>2.87</v>
      </c>
      <c r="P12" s="439">
        <f t="shared" si="6"/>
        <v>3033.6699999999992</v>
      </c>
      <c r="R12" s="95"/>
    </row>
    <row r="13" spans="2:18" ht="13.5" customHeight="1" x14ac:dyDescent="0.25">
      <c r="B13" s="18" t="s">
        <v>167</v>
      </c>
      <c r="C13" s="434">
        <f>MATRIZ!C308</f>
        <v>53584.75</v>
      </c>
      <c r="D13" s="433" t="s">
        <v>11</v>
      </c>
      <c r="E13" s="434">
        <f>MATRIZ!G308</f>
        <v>71405.37</v>
      </c>
      <c r="F13" s="6"/>
      <c r="G13" s="237">
        <f>MATRIZ!I308</f>
        <v>2407.7399999999998</v>
      </c>
      <c r="H13" s="428">
        <f t="shared" si="1"/>
        <v>48.15</v>
      </c>
      <c r="I13" s="428">
        <f t="shared" si="2"/>
        <v>481.54</v>
      </c>
      <c r="J13" s="428">
        <f t="shared" si="3"/>
        <v>120.38</v>
      </c>
      <c r="K13" s="428">
        <f t="shared" si="4"/>
        <v>120.38</v>
      </c>
      <c r="L13" s="428">
        <f t="shared" si="0"/>
        <v>144.46</v>
      </c>
      <c r="M13" s="428">
        <f t="shared" si="5"/>
        <v>72.23</v>
      </c>
      <c r="N13" s="428" t="s">
        <v>22</v>
      </c>
      <c r="O13" s="428">
        <f>MATRIZ!$I$382</f>
        <v>2.87</v>
      </c>
      <c r="P13" s="439">
        <f t="shared" si="6"/>
        <v>3397.75</v>
      </c>
      <c r="R13" s="95"/>
    </row>
    <row r="14" spans="2:18" ht="15" x14ac:dyDescent="0.25">
      <c r="B14" s="18" t="s">
        <v>168</v>
      </c>
      <c r="C14" s="434">
        <f>MATRIZ!C309</f>
        <v>71405.37999999999</v>
      </c>
      <c r="D14" s="433" t="s">
        <v>11</v>
      </c>
      <c r="E14" s="434">
        <f>MATRIZ!G309</f>
        <v>89348.89</v>
      </c>
      <c r="F14" s="6"/>
      <c r="G14" s="237">
        <f>MATRIZ!I309</f>
        <v>2580.7800000000002</v>
      </c>
      <c r="H14" s="428">
        <f t="shared" si="1"/>
        <v>51.61</v>
      </c>
      <c r="I14" s="428">
        <f t="shared" si="2"/>
        <v>516.15</v>
      </c>
      <c r="J14" s="428">
        <f t="shared" si="3"/>
        <v>129.03</v>
      </c>
      <c r="K14" s="428">
        <f t="shared" si="4"/>
        <v>129.03</v>
      </c>
      <c r="L14" s="428">
        <f t="shared" si="0"/>
        <v>154.84</v>
      </c>
      <c r="M14" s="428">
        <f t="shared" si="5"/>
        <v>77.42</v>
      </c>
      <c r="N14" s="428" t="s">
        <v>22</v>
      </c>
      <c r="O14" s="428">
        <f>MATRIZ!$I$382</f>
        <v>2.87</v>
      </c>
      <c r="P14" s="439">
        <f t="shared" si="6"/>
        <v>3641.7300000000009</v>
      </c>
      <c r="R14" s="95"/>
    </row>
    <row r="15" spans="2:18" ht="15" customHeight="1" x14ac:dyDescent="0.25">
      <c r="B15" s="18" t="s">
        <v>169</v>
      </c>
      <c r="C15" s="434">
        <f>MATRIZ!C310</f>
        <v>89348.9</v>
      </c>
      <c r="D15" s="433" t="s">
        <v>11</v>
      </c>
      <c r="E15" s="434">
        <f>MATRIZ!G310</f>
        <v>107169.51</v>
      </c>
      <c r="F15" s="6"/>
      <c r="G15" s="237">
        <f>MATRIZ!I310</f>
        <v>2752.47</v>
      </c>
      <c r="H15" s="428">
        <f t="shared" si="1"/>
        <v>55.04</v>
      </c>
      <c r="I15" s="428">
        <f t="shared" si="2"/>
        <v>550.49</v>
      </c>
      <c r="J15" s="428">
        <f t="shared" si="3"/>
        <v>137.62</v>
      </c>
      <c r="K15" s="428">
        <f t="shared" si="4"/>
        <v>137.62</v>
      </c>
      <c r="L15" s="428">
        <f t="shared" si="0"/>
        <v>165.14</v>
      </c>
      <c r="M15" s="428">
        <f t="shared" si="5"/>
        <v>82.57</v>
      </c>
      <c r="N15" s="428" t="s">
        <v>22</v>
      </c>
      <c r="O15" s="428">
        <f>MATRIZ!$I$382</f>
        <v>2.87</v>
      </c>
      <c r="P15" s="439">
        <f t="shared" si="6"/>
        <v>3883.8199999999997</v>
      </c>
      <c r="R15" s="95"/>
    </row>
    <row r="16" spans="2:18" ht="14.25" customHeight="1" x14ac:dyDescent="0.25">
      <c r="B16" s="18" t="s">
        <v>170</v>
      </c>
      <c r="C16" s="434">
        <f>MATRIZ!C311</f>
        <v>107169.51999999999</v>
      </c>
      <c r="D16" s="433" t="s">
        <v>11</v>
      </c>
      <c r="E16" s="434">
        <f>MATRIZ!G311</f>
        <v>178697.79</v>
      </c>
      <c r="F16" s="6"/>
      <c r="G16" s="237">
        <f>MATRIZ!I311</f>
        <v>3182.37</v>
      </c>
      <c r="H16" s="428">
        <f t="shared" si="1"/>
        <v>63.64</v>
      </c>
      <c r="I16" s="428">
        <f t="shared" si="2"/>
        <v>636.47</v>
      </c>
      <c r="J16" s="428">
        <f t="shared" si="3"/>
        <v>159.11000000000001</v>
      </c>
      <c r="K16" s="428">
        <f t="shared" si="4"/>
        <v>159.11000000000001</v>
      </c>
      <c r="L16" s="428">
        <f t="shared" si="0"/>
        <v>190.94</v>
      </c>
      <c r="M16" s="428">
        <f t="shared" si="5"/>
        <v>95.47</v>
      </c>
      <c r="N16" s="428" t="s">
        <v>22</v>
      </c>
      <c r="O16" s="428">
        <f>MATRIZ!$I$382</f>
        <v>2.87</v>
      </c>
      <c r="P16" s="439">
        <f t="shared" si="6"/>
        <v>4489.9799999999996</v>
      </c>
      <c r="R16" s="95"/>
    </row>
    <row r="17" spans="2:18" ht="15" customHeight="1" x14ac:dyDescent="0.25">
      <c r="B17" s="18" t="s">
        <v>171</v>
      </c>
      <c r="C17" s="434">
        <f>MATRIZ!C312</f>
        <v>178697.80000000002</v>
      </c>
      <c r="D17" s="433" t="s">
        <v>11</v>
      </c>
      <c r="E17" s="434">
        <f>MATRIZ!G312</f>
        <v>250226.07</v>
      </c>
      <c r="F17" s="6"/>
      <c r="G17" s="237">
        <f>MATRIZ!I312</f>
        <v>3957.02</v>
      </c>
      <c r="H17" s="428">
        <f t="shared" si="1"/>
        <v>79.14</v>
      </c>
      <c r="I17" s="428">
        <f t="shared" si="2"/>
        <v>791.4</v>
      </c>
      <c r="J17" s="428">
        <f t="shared" si="3"/>
        <v>197.85</v>
      </c>
      <c r="K17" s="428">
        <f t="shared" si="4"/>
        <v>197.85</v>
      </c>
      <c r="L17" s="428">
        <f t="shared" si="0"/>
        <v>237.42</v>
      </c>
      <c r="M17" s="428">
        <f t="shared" si="5"/>
        <v>118.71</v>
      </c>
      <c r="N17" s="428" t="s">
        <v>22</v>
      </c>
      <c r="O17" s="428">
        <f>MATRIZ!$I$382</f>
        <v>2.87</v>
      </c>
      <c r="P17" s="439">
        <f t="shared" si="6"/>
        <v>5582.26</v>
      </c>
      <c r="R17" s="95"/>
    </row>
    <row r="18" spans="2:18" ht="15" customHeight="1" x14ac:dyDescent="0.25">
      <c r="B18" s="18" t="s">
        <v>172</v>
      </c>
      <c r="C18" s="434">
        <f>MATRIZ!C313</f>
        <v>250226.08000000002</v>
      </c>
      <c r="D18" s="433" t="s">
        <v>11</v>
      </c>
      <c r="E18" s="434">
        <f>MATRIZ!G313</f>
        <v>328882.59999999998</v>
      </c>
      <c r="F18" s="6"/>
      <c r="G18" s="237">
        <f>MATRIZ!I313</f>
        <v>4730.32</v>
      </c>
      <c r="H18" s="428">
        <f t="shared" si="1"/>
        <v>94.6</v>
      </c>
      <c r="I18" s="428">
        <f t="shared" si="2"/>
        <v>946.06</v>
      </c>
      <c r="J18" s="428">
        <f t="shared" si="3"/>
        <v>236.51</v>
      </c>
      <c r="K18" s="428">
        <f t="shared" si="4"/>
        <v>236.51</v>
      </c>
      <c r="L18" s="428">
        <f t="shared" si="0"/>
        <v>283.81</v>
      </c>
      <c r="M18" s="428">
        <f t="shared" si="5"/>
        <v>141.9</v>
      </c>
      <c r="N18" s="428" t="s">
        <v>22</v>
      </c>
      <c r="O18" s="428">
        <f>MATRIZ!$I$382</f>
        <v>2.87</v>
      </c>
      <c r="P18" s="439">
        <f t="shared" si="6"/>
        <v>6672.58</v>
      </c>
      <c r="R18" s="95"/>
    </row>
    <row r="19" spans="2:18" ht="13.5" customHeight="1" x14ac:dyDescent="0.25">
      <c r="B19" s="18" t="s">
        <v>173</v>
      </c>
      <c r="C19" s="434">
        <f>MATRIZ!C314</f>
        <v>328882.61</v>
      </c>
      <c r="D19" s="433" t="s">
        <v>11</v>
      </c>
      <c r="E19" s="434">
        <f>MATRIZ!G314</f>
        <v>357518.49</v>
      </c>
      <c r="F19" s="6"/>
      <c r="G19" s="237">
        <f>MATRIZ!I314</f>
        <v>4733.01</v>
      </c>
      <c r="H19" s="428">
        <f t="shared" si="1"/>
        <v>94.66</v>
      </c>
      <c r="I19" s="428">
        <f t="shared" si="2"/>
        <v>946.6</v>
      </c>
      <c r="J19" s="428">
        <f t="shared" si="3"/>
        <v>236.65</v>
      </c>
      <c r="K19" s="428">
        <f t="shared" si="4"/>
        <v>236.65</v>
      </c>
      <c r="L19" s="428">
        <f t="shared" si="0"/>
        <v>283.98</v>
      </c>
      <c r="M19" s="428">
        <f t="shared" si="5"/>
        <v>141.99</v>
      </c>
      <c r="N19" s="428" t="s">
        <v>22</v>
      </c>
      <c r="O19" s="428">
        <f>MATRIZ!$I$382</f>
        <v>2.87</v>
      </c>
      <c r="P19" s="439">
        <f t="shared" si="6"/>
        <v>6676.4099999999989</v>
      </c>
      <c r="R19" s="95"/>
    </row>
    <row r="20" spans="2:18" ht="14.25" customHeight="1" x14ac:dyDescent="0.25">
      <c r="B20" s="18" t="s">
        <v>174</v>
      </c>
      <c r="C20" s="434">
        <f>MATRIZ!C315</f>
        <v>357518.5</v>
      </c>
      <c r="D20" s="433" t="s">
        <v>11</v>
      </c>
      <c r="E20" s="434">
        <f>MATRIZ!G315</f>
        <v>1843512.4</v>
      </c>
      <c r="F20" s="6"/>
      <c r="G20" s="237">
        <f>MATRIZ!I315</f>
        <v>4743.83</v>
      </c>
      <c r="H20" s="428">
        <f t="shared" si="1"/>
        <v>94.87</v>
      </c>
      <c r="I20" s="428">
        <f t="shared" si="2"/>
        <v>948.76</v>
      </c>
      <c r="J20" s="428">
        <f t="shared" si="3"/>
        <v>237.19</v>
      </c>
      <c r="K20" s="428">
        <f t="shared" si="4"/>
        <v>237.19</v>
      </c>
      <c r="L20" s="428">
        <f t="shared" si="0"/>
        <v>284.62</v>
      </c>
      <c r="M20" s="428">
        <f t="shared" si="5"/>
        <v>142.31</v>
      </c>
      <c r="N20" s="428" t="s">
        <v>22</v>
      </c>
      <c r="O20" s="428">
        <f>MATRIZ!$I$382</f>
        <v>2.87</v>
      </c>
      <c r="P20" s="439">
        <f>SUM(G20:O20)</f>
        <v>6691.6399999999994</v>
      </c>
      <c r="R20" s="95"/>
    </row>
    <row r="21" spans="2:18" ht="14.25" customHeight="1" x14ac:dyDescent="0.25">
      <c r="B21" s="18" t="s">
        <v>175</v>
      </c>
      <c r="C21" s="434">
        <f>MATRIZ!C316</f>
        <v>1843512.41</v>
      </c>
      <c r="D21" s="433" t="s">
        <v>11</v>
      </c>
      <c r="E21" s="434">
        <f>MATRIZ!G316</f>
        <v>2703818.19</v>
      </c>
      <c r="F21" s="6"/>
      <c r="G21" s="237">
        <f>MATRIZ!I316</f>
        <v>5880.79</v>
      </c>
      <c r="H21" s="428">
        <f t="shared" si="1"/>
        <v>117.61</v>
      </c>
      <c r="I21" s="428">
        <f t="shared" si="2"/>
        <v>1176.1500000000001</v>
      </c>
      <c r="J21" s="428">
        <f t="shared" si="3"/>
        <v>294.02999999999997</v>
      </c>
      <c r="K21" s="428">
        <f t="shared" si="4"/>
        <v>294.02999999999997</v>
      </c>
      <c r="L21" s="428">
        <f t="shared" si="0"/>
        <v>352.84</v>
      </c>
      <c r="M21" s="428">
        <f t="shared" si="5"/>
        <v>176.42</v>
      </c>
      <c r="N21" s="428" t="s">
        <v>22</v>
      </c>
      <c r="O21" s="428">
        <f>MATRIZ!$I$382</f>
        <v>2.87</v>
      </c>
      <c r="P21" s="439">
        <f t="shared" si="6"/>
        <v>8294.74</v>
      </c>
      <c r="R21" s="95"/>
    </row>
    <row r="22" spans="2:18" ht="14.25" customHeight="1" x14ac:dyDescent="0.25">
      <c r="B22" s="18" t="s">
        <v>176</v>
      </c>
      <c r="C22" s="434">
        <f>MATRIZ!C317</f>
        <v>2703818.1999999997</v>
      </c>
      <c r="D22" s="433" t="s">
        <v>11</v>
      </c>
      <c r="E22" s="434">
        <f>MATRIZ!G317</f>
        <v>3687024.81</v>
      </c>
      <c r="F22" s="6"/>
      <c r="G22" s="237">
        <f>MATRIZ!I317</f>
        <v>7044.78</v>
      </c>
      <c r="H22" s="428">
        <f t="shared" si="1"/>
        <v>140.88999999999999</v>
      </c>
      <c r="I22" s="428">
        <f t="shared" si="2"/>
        <v>1408.95</v>
      </c>
      <c r="J22" s="428">
        <f t="shared" si="3"/>
        <v>352.23</v>
      </c>
      <c r="K22" s="428">
        <f t="shared" si="4"/>
        <v>352.23</v>
      </c>
      <c r="L22" s="428">
        <f t="shared" si="0"/>
        <v>422.68</v>
      </c>
      <c r="M22" s="428">
        <f t="shared" si="5"/>
        <v>211.34</v>
      </c>
      <c r="N22" s="428" t="s">
        <v>22</v>
      </c>
      <c r="O22" s="428">
        <f>MATRIZ!$I$382</f>
        <v>2.87</v>
      </c>
      <c r="P22" s="439">
        <f t="shared" si="6"/>
        <v>9935.9700000000012</v>
      </c>
      <c r="R22" s="95"/>
    </row>
    <row r="23" spans="2:18" ht="14.25" customHeight="1" x14ac:dyDescent="0.25">
      <c r="B23" s="18" t="s">
        <v>177</v>
      </c>
      <c r="C23" s="434">
        <f>MATRIZ!C318</f>
        <v>3687024.82</v>
      </c>
      <c r="D23" s="433" t="s">
        <v>11</v>
      </c>
      <c r="E23" s="434">
        <f>MATRIZ!G318</f>
        <v>9094661.2400000002</v>
      </c>
      <c r="F23" s="6"/>
      <c r="G23" s="237">
        <f>MATRIZ!I318</f>
        <v>9044.26</v>
      </c>
      <c r="H23" s="428">
        <f t="shared" si="1"/>
        <v>180.88</v>
      </c>
      <c r="I23" s="428">
        <f t="shared" si="2"/>
        <v>1808.85</v>
      </c>
      <c r="J23" s="428">
        <f t="shared" si="3"/>
        <v>452.21</v>
      </c>
      <c r="K23" s="428">
        <f t="shared" si="4"/>
        <v>452.21</v>
      </c>
      <c r="L23" s="428">
        <f t="shared" si="0"/>
        <v>542.65</v>
      </c>
      <c r="M23" s="428">
        <f t="shared" si="5"/>
        <v>271.32</v>
      </c>
      <c r="N23" s="428" t="s">
        <v>22</v>
      </c>
      <c r="O23" s="428">
        <f>MATRIZ!$I$382</f>
        <v>2.87</v>
      </c>
      <c r="P23" s="439">
        <f t="shared" si="6"/>
        <v>12755.249999999998</v>
      </c>
      <c r="R23" s="95"/>
    </row>
    <row r="24" spans="2:18" ht="14.25" customHeight="1" x14ac:dyDescent="0.25">
      <c r="B24" s="18" t="s">
        <v>178</v>
      </c>
      <c r="C24" s="434">
        <f>MATRIZ!C319</f>
        <v>9094661.25</v>
      </c>
      <c r="D24" s="433" t="s">
        <v>11</v>
      </c>
      <c r="E24" s="434">
        <f>MATRIZ!G319</f>
        <v>18435124.120000001</v>
      </c>
      <c r="F24" s="6"/>
      <c r="G24" s="237">
        <f>MATRIZ!I319</f>
        <v>11704.81</v>
      </c>
      <c r="H24" s="428">
        <f t="shared" si="1"/>
        <v>234.09</v>
      </c>
      <c r="I24" s="428">
        <f t="shared" si="2"/>
        <v>2340.96</v>
      </c>
      <c r="J24" s="428">
        <f t="shared" si="3"/>
        <v>585.24</v>
      </c>
      <c r="K24" s="428">
        <f t="shared" si="4"/>
        <v>585.24</v>
      </c>
      <c r="L24" s="428">
        <f t="shared" si="0"/>
        <v>702.28</v>
      </c>
      <c r="M24" s="428">
        <f t="shared" si="5"/>
        <v>351.14</v>
      </c>
      <c r="N24" s="428" t="s">
        <v>22</v>
      </c>
      <c r="O24" s="428">
        <f>MATRIZ!$I$382</f>
        <v>2.87</v>
      </c>
      <c r="P24" s="439">
        <f t="shared" si="6"/>
        <v>16506.63</v>
      </c>
      <c r="R24" s="95"/>
    </row>
    <row r="25" spans="2:18" ht="14.25" customHeight="1" x14ac:dyDescent="0.25">
      <c r="B25" s="18" t="s">
        <v>179</v>
      </c>
      <c r="C25" s="434">
        <f>MATRIZ!C320</f>
        <v>18435124.130000003</v>
      </c>
      <c r="D25" s="433" t="s">
        <v>11</v>
      </c>
      <c r="E25" s="434">
        <f>MATRIZ!G320</f>
        <v>27038182.059999999</v>
      </c>
      <c r="F25" s="6"/>
      <c r="G25" s="237">
        <f>MATRIZ!I320</f>
        <v>15695.65</v>
      </c>
      <c r="H25" s="428">
        <f t="shared" si="1"/>
        <v>313.91000000000003</v>
      </c>
      <c r="I25" s="428">
        <f t="shared" si="2"/>
        <v>3139.13</v>
      </c>
      <c r="J25" s="428">
        <f t="shared" si="3"/>
        <v>784.78</v>
      </c>
      <c r="K25" s="428">
        <f t="shared" si="4"/>
        <v>784.78</v>
      </c>
      <c r="L25" s="428">
        <f t="shared" si="0"/>
        <v>941.73</v>
      </c>
      <c r="M25" s="428">
        <f t="shared" si="5"/>
        <v>470.86</v>
      </c>
      <c r="N25" s="428" t="s">
        <v>22</v>
      </c>
      <c r="O25" s="428">
        <f>MATRIZ!$I$382</f>
        <v>2.87</v>
      </c>
      <c r="P25" s="439">
        <f t="shared" si="6"/>
        <v>22133.709999999995</v>
      </c>
      <c r="R25" s="95"/>
    </row>
    <row r="26" spans="2:18" ht="14.25" customHeight="1" x14ac:dyDescent="0.25">
      <c r="B26" s="18" t="s">
        <v>180</v>
      </c>
      <c r="C26" s="434">
        <f>MATRIZ!C321</f>
        <v>27038182.07</v>
      </c>
      <c r="D26" s="433" t="s">
        <v>11</v>
      </c>
      <c r="E26" s="434">
        <f>MATRIZ!G321</f>
        <v>36870248.270000003</v>
      </c>
      <c r="F26" s="6"/>
      <c r="G26" s="237">
        <f>MATRIZ!I321</f>
        <v>21016.76</v>
      </c>
      <c r="H26" s="428">
        <f t="shared" si="1"/>
        <v>420.33</v>
      </c>
      <c r="I26" s="428">
        <f t="shared" si="2"/>
        <v>4203.3500000000004</v>
      </c>
      <c r="J26" s="428">
        <f t="shared" si="3"/>
        <v>1050.83</v>
      </c>
      <c r="K26" s="428">
        <f t="shared" si="4"/>
        <v>1050.83</v>
      </c>
      <c r="L26" s="428">
        <f t="shared" si="0"/>
        <v>1261</v>
      </c>
      <c r="M26" s="428">
        <f t="shared" si="5"/>
        <v>630.5</v>
      </c>
      <c r="N26" s="428" t="s">
        <v>22</v>
      </c>
      <c r="O26" s="428">
        <f>MATRIZ!$I$382</f>
        <v>2.87</v>
      </c>
      <c r="P26" s="439">
        <f t="shared" si="6"/>
        <v>29636.470000000005</v>
      </c>
      <c r="R26" s="95"/>
    </row>
    <row r="27" spans="2:18" ht="14.25" customHeight="1" x14ac:dyDescent="0.25">
      <c r="B27" s="18" t="s">
        <v>181</v>
      </c>
      <c r="C27" s="434">
        <f>MATRIZ!C322</f>
        <v>36870248.280000001</v>
      </c>
      <c r="D27" s="433" t="s">
        <v>11</v>
      </c>
      <c r="E27" s="434">
        <f>MATRIZ!G322</f>
        <v>55305372.409999996</v>
      </c>
      <c r="F27" s="6"/>
      <c r="G27" s="237">
        <f>MATRIZ!I322</f>
        <v>27668.16</v>
      </c>
      <c r="H27" s="428">
        <f t="shared" si="1"/>
        <v>553.36</v>
      </c>
      <c r="I27" s="428">
        <f t="shared" si="2"/>
        <v>5533.63</v>
      </c>
      <c r="J27" s="428">
        <f t="shared" si="3"/>
        <v>1383.4</v>
      </c>
      <c r="K27" s="428">
        <f t="shared" si="4"/>
        <v>1383.4</v>
      </c>
      <c r="L27" s="428">
        <f t="shared" si="0"/>
        <v>1660.08</v>
      </c>
      <c r="M27" s="428">
        <f t="shared" si="5"/>
        <v>830.04</v>
      </c>
      <c r="N27" s="428" t="s">
        <v>22</v>
      </c>
      <c r="O27" s="428">
        <f>MATRIZ!$I$382</f>
        <v>2.87</v>
      </c>
      <c r="P27" s="439">
        <f t="shared" si="6"/>
        <v>39014.94000000001</v>
      </c>
      <c r="R27" s="95"/>
    </row>
    <row r="28" spans="2:18" ht="14.25" customHeight="1" x14ac:dyDescent="0.25">
      <c r="B28" s="18" t="s">
        <v>182</v>
      </c>
      <c r="C28" s="434">
        <f>MATRIZ!C323</f>
        <v>55305372.419999994</v>
      </c>
      <c r="D28" s="433" t="s">
        <v>11</v>
      </c>
      <c r="E28" s="434">
        <f>MATRIZ!G323</f>
        <v>73740496.560000002</v>
      </c>
      <c r="F28" s="6"/>
      <c r="G28" s="237">
        <f>MATRIZ!I323</f>
        <v>35649.82</v>
      </c>
      <c r="H28" s="428">
        <f t="shared" si="1"/>
        <v>712.99</v>
      </c>
      <c r="I28" s="428">
        <f t="shared" si="2"/>
        <v>7129.96</v>
      </c>
      <c r="J28" s="428">
        <f t="shared" si="3"/>
        <v>1782.49</v>
      </c>
      <c r="K28" s="428">
        <f t="shared" si="4"/>
        <v>1782.49</v>
      </c>
      <c r="L28" s="428">
        <f t="shared" si="0"/>
        <v>2138.98</v>
      </c>
      <c r="M28" s="428">
        <f t="shared" si="5"/>
        <v>1069.49</v>
      </c>
      <c r="N28" s="428" t="s">
        <v>22</v>
      </c>
      <c r="O28" s="428">
        <f>MATRIZ!$I$382</f>
        <v>2.87</v>
      </c>
      <c r="P28" s="439">
        <f t="shared" si="6"/>
        <v>50269.09</v>
      </c>
      <c r="R28" s="95"/>
    </row>
    <row r="29" spans="2:18" ht="14.25" customHeight="1" x14ac:dyDescent="0.25">
      <c r="B29" s="18" t="s">
        <v>183</v>
      </c>
      <c r="C29" s="434">
        <f>MATRIZ!C324</f>
        <v>73740496.570000008</v>
      </c>
      <c r="D29" s="433" t="s">
        <v>11</v>
      </c>
      <c r="E29" s="434">
        <f>MATRIZ!G324</f>
        <v>110610744.84999999</v>
      </c>
      <c r="F29" s="6"/>
      <c r="G29" s="237">
        <f>MATRIZ!I324</f>
        <v>43555.8</v>
      </c>
      <c r="H29" s="428">
        <f t="shared" si="1"/>
        <v>871.11</v>
      </c>
      <c r="I29" s="428">
        <f t="shared" si="2"/>
        <v>8711.16</v>
      </c>
      <c r="J29" s="428">
        <f t="shared" si="3"/>
        <v>2177.79</v>
      </c>
      <c r="K29" s="428">
        <f t="shared" si="4"/>
        <v>2177.79</v>
      </c>
      <c r="L29" s="428">
        <f t="shared" si="0"/>
        <v>2613.34</v>
      </c>
      <c r="M29" s="428">
        <f t="shared" si="5"/>
        <v>1306.67</v>
      </c>
      <c r="N29" s="428" t="s">
        <v>22</v>
      </c>
      <c r="O29" s="428">
        <f>MATRIZ!$I$382</f>
        <v>2.87</v>
      </c>
      <c r="P29" s="439">
        <f t="shared" si="6"/>
        <v>61416.530000000006</v>
      </c>
      <c r="R29" s="95"/>
    </row>
    <row r="30" spans="2:18" ht="14.25" customHeight="1" x14ac:dyDescent="0.2">
      <c r="B30" s="18" t="s">
        <v>184</v>
      </c>
      <c r="C30" s="434">
        <f>MATRIZ!C325</f>
        <v>110610744.86</v>
      </c>
      <c r="D30" s="433"/>
      <c r="E30" s="434" t="s">
        <v>384</v>
      </c>
      <c r="F30" s="6"/>
      <c r="G30" s="237">
        <f>MATRIZ!I325</f>
        <v>53215.03</v>
      </c>
      <c r="H30" s="428">
        <f t="shared" si="1"/>
        <v>1064.3</v>
      </c>
      <c r="I30" s="428">
        <f t="shared" si="2"/>
        <v>10643</v>
      </c>
      <c r="J30" s="428">
        <f t="shared" si="3"/>
        <v>2660.75</v>
      </c>
      <c r="K30" s="428">
        <f t="shared" si="4"/>
        <v>2660.75</v>
      </c>
      <c r="L30" s="428">
        <f t="shared" si="0"/>
        <v>3192.9</v>
      </c>
      <c r="M30" s="428">
        <f t="shared" si="5"/>
        <v>1596.45</v>
      </c>
      <c r="N30" s="428" t="s">
        <v>22</v>
      </c>
      <c r="O30" s="428">
        <f>MATRIZ!$I$382</f>
        <v>2.87</v>
      </c>
      <c r="P30" s="439">
        <f t="shared" si="6"/>
        <v>75036.049999999988</v>
      </c>
    </row>
    <row r="31" spans="2:18" ht="21" customHeight="1" x14ac:dyDescent="0.2">
      <c r="B31" s="1068" t="s">
        <v>385</v>
      </c>
      <c r="C31" s="749"/>
      <c r="D31" s="425"/>
      <c r="E31" s="342"/>
      <c r="F31" s="342"/>
      <c r="G31" s="432" t="s">
        <v>386</v>
      </c>
      <c r="H31" s="428"/>
      <c r="I31" s="428"/>
      <c r="J31" s="428"/>
      <c r="K31" s="428"/>
      <c r="L31" s="428"/>
      <c r="M31" s="428"/>
      <c r="N31" s="428"/>
      <c r="O31" s="430"/>
      <c r="P31" s="439"/>
    </row>
    <row r="32" spans="2:18" ht="14.25" customHeight="1" x14ac:dyDescent="0.2">
      <c r="B32" s="1044" t="s">
        <v>448</v>
      </c>
      <c r="C32" s="1045"/>
      <c r="D32" s="1045"/>
      <c r="E32" s="1045"/>
      <c r="F32" s="1046"/>
      <c r="G32" s="237">
        <f>MATRIZ!I327</f>
        <v>243.33</v>
      </c>
      <c r="H32" s="428">
        <f t="shared" si="1"/>
        <v>4.8600000000000003</v>
      </c>
      <c r="I32" s="428">
        <f t="shared" ref="I32" si="7">TRUNC(G32*20%,2)</f>
        <v>48.66</v>
      </c>
      <c r="J32" s="428">
        <f t="shared" ref="J32" si="8">TRUNC(G32*5%,2)</f>
        <v>12.16</v>
      </c>
      <c r="K32" s="428">
        <f t="shared" ref="K32" si="9">TRUNC(G32*5%,2)</f>
        <v>12.16</v>
      </c>
      <c r="L32" s="428">
        <f t="shared" si="0"/>
        <v>14.59</v>
      </c>
      <c r="M32" s="428">
        <f t="shared" ref="M32" si="10">TRUNC(G32*3%,2)</f>
        <v>7.29</v>
      </c>
      <c r="N32" s="428"/>
      <c r="O32" s="428">
        <f>MATRIZ!$I$382</f>
        <v>2.87</v>
      </c>
      <c r="P32" s="439">
        <f t="shared" ref="P32" si="11">SUM(G32:O32)</f>
        <v>345.92000000000007</v>
      </c>
    </row>
    <row r="33" spans="2:16" ht="21" customHeight="1" x14ac:dyDescent="0.2">
      <c r="B33" s="1068" t="s">
        <v>385</v>
      </c>
      <c r="C33" s="749"/>
      <c r="D33" s="425"/>
      <c r="E33" s="342"/>
      <c r="F33" s="342"/>
      <c r="G33" s="432" t="s">
        <v>386</v>
      </c>
      <c r="H33" s="428"/>
      <c r="I33" s="428"/>
      <c r="J33" s="428"/>
      <c r="K33" s="428"/>
      <c r="L33" s="428"/>
      <c r="M33" s="428"/>
      <c r="N33" s="428"/>
      <c r="O33" s="430"/>
      <c r="P33" s="439"/>
    </row>
    <row r="34" spans="2:16" ht="64.5" customHeight="1" x14ac:dyDescent="0.2">
      <c r="B34" s="1042" t="s">
        <v>185</v>
      </c>
      <c r="C34" s="1014"/>
      <c r="D34" s="1014"/>
      <c r="E34" s="1014"/>
      <c r="F34" s="1043"/>
      <c r="G34" s="237">
        <f>MATRIZ!I329</f>
        <v>101.38</v>
      </c>
      <c r="H34" s="428">
        <f t="shared" si="1"/>
        <v>2.02</v>
      </c>
      <c r="I34" s="428">
        <f t="shared" ref="I34" si="12">TRUNC(G34*20%,2)</f>
        <v>20.27</v>
      </c>
      <c r="J34" s="428">
        <f t="shared" ref="J34" si="13">TRUNC(G34*5%,2)</f>
        <v>5.0599999999999996</v>
      </c>
      <c r="K34" s="428">
        <f t="shared" ref="K34" si="14">TRUNC(G34*5%,2)</f>
        <v>5.0599999999999996</v>
      </c>
      <c r="L34" s="428">
        <f t="shared" si="0"/>
        <v>6.08</v>
      </c>
      <c r="M34" s="428">
        <f t="shared" ref="M34" si="15">TRUNC(G34*3%,2)</f>
        <v>3.04</v>
      </c>
      <c r="N34" s="428"/>
      <c r="O34" s="428">
        <f>MATRIZ!$I$382</f>
        <v>2.87</v>
      </c>
      <c r="P34" s="439">
        <f t="shared" ref="P34" si="16">SUM(G34:O34)</f>
        <v>145.78</v>
      </c>
    </row>
    <row r="35" spans="2:16" ht="20.25" customHeight="1" x14ac:dyDescent="0.2">
      <c r="B35" s="1068" t="s">
        <v>385</v>
      </c>
      <c r="C35" s="749"/>
      <c r="D35" s="425"/>
      <c r="E35" s="342"/>
      <c r="F35" s="342"/>
      <c r="G35" s="432" t="s">
        <v>386</v>
      </c>
      <c r="H35" s="428"/>
      <c r="I35" s="428"/>
      <c r="J35" s="428"/>
      <c r="K35" s="428"/>
      <c r="L35" s="428"/>
      <c r="M35" s="428"/>
      <c r="N35" s="428"/>
      <c r="O35" s="428"/>
      <c r="P35" s="439"/>
    </row>
    <row r="36" spans="2:16" ht="16.5" customHeight="1" x14ac:dyDescent="0.2">
      <c r="B36" s="1069" t="s">
        <v>186</v>
      </c>
      <c r="C36" s="1070"/>
      <c r="D36" s="1070"/>
      <c r="E36" s="1070"/>
      <c r="F36" s="1071"/>
      <c r="G36" s="237">
        <f>MATRIZ!I331</f>
        <v>33.79</v>
      </c>
      <c r="H36" s="428">
        <f t="shared" si="1"/>
        <v>0.67</v>
      </c>
      <c r="I36" s="428">
        <f t="shared" ref="I36" si="17">TRUNC(G36*20%,2)</f>
        <v>6.75</v>
      </c>
      <c r="J36" s="428">
        <f t="shared" ref="J36" si="18">TRUNC(G36*5%,2)</f>
        <v>1.68</v>
      </c>
      <c r="K36" s="428">
        <f t="shared" ref="K36" si="19">TRUNC(G36*5%,2)</f>
        <v>1.68</v>
      </c>
      <c r="L36" s="428">
        <f t="shared" si="0"/>
        <v>2.02</v>
      </c>
      <c r="M36" s="428">
        <f t="shared" ref="M36" si="20">TRUNC(G36*3%,2)</f>
        <v>1.01</v>
      </c>
      <c r="N36" s="428" t="s">
        <v>22</v>
      </c>
      <c r="O36" s="428">
        <f>MATRIZ!$I$382</f>
        <v>2.87</v>
      </c>
      <c r="P36" s="439">
        <f t="shared" ref="P36:P51" si="21">SUM(G36:O36)</f>
        <v>50.47</v>
      </c>
    </row>
    <row r="37" spans="2:16" ht="42.75" customHeight="1" x14ac:dyDescent="0.2">
      <c r="B37" s="1042" t="s">
        <v>512</v>
      </c>
      <c r="C37" s="1014"/>
      <c r="D37" s="1014"/>
      <c r="E37" s="1014"/>
      <c r="F37" s="1043"/>
      <c r="G37" s="237">
        <f>MATRIZ!I332</f>
        <v>243.33</v>
      </c>
      <c r="H37" s="428">
        <f t="shared" si="1"/>
        <v>4.8600000000000003</v>
      </c>
      <c r="I37" s="428">
        <f t="shared" ref="I37:I38" si="22">TRUNC(G37*20%,2)</f>
        <v>48.66</v>
      </c>
      <c r="J37" s="428">
        <f t="shared" ref="J37" si="23">TRUNC(G37*5%,2)</f>
        <v>12.16</v>
      </c>
      <c r="K37" s="428">
        <f t="shared" ref="K37" si="24">TRUNC(G37*5%,2)</f>
        <v>12.16</v>
      </c>
      <c r="L37" s="428">
        <f t="shared" si="0"/>
        <v>14.59</v>
      </c>
      <c r="M37" s="428">
        <f t="shared" ref="M37" si="25">TRUNC(G37*3%,2)</f>
        <v>7.29</v>
      </c>
      <c r="N37" s="428" t="s">
        <v>22</v>
      </c>
      <c r="O37" s="428">
        <f>MATRIZ!$I$382</f>
        <v>2.87</v>
      </c>
      <c r="P37" s="439">
        <f t="shared" si="21"/>
        <v>345.92000000000007</v>
      </c>
    </row>
    <row r="38" spans="2:16" ht="61.5" customHeight="1" x14ac:dyDescent="0.2">
      <c r="B38" s="1042" t="s">
        <v>513</v>
      </c>
      <c r="C38" s="1014"/>
      <c r="D38" s="1014"/>
      <c r="E38" s="1014"/>
      <c r="F38" s="1043"/>
      <c r="G38" s="237">
        <f>MATRIZ!I334</f>
        <v>33.79</v>
      </c>
      <c r="H38" s="428">
        <f t="shared" si="1"/>
        <v>0.67</v>
      </c>
      <c r="I38" s="428">
        <f t="shared" si="22"/>
        <v>6.75</v>
      </c>
      <c r="J38" s="428">
        <f t="shared" ref="J38" si="26">TRUNC(G38*5%,2)</f>
        <v>1.68</v>
      </c>
      <c r="K38" s="428">
        <f t="shared" ref="K38" si="27">TRUNC(G38*5%,2)</f>
        <v>1.68</v>
      </c>
      <c r="L38" s="428">
        <f t="shared" si="0"/>
        <v>2.02</v>
      </c>
      <c r="M38" s="428">
        <f t="shared" ref="M38" si="28">TRUNC(G38*3%,2)</f>
        <v>1.01</v>
      </c>
      <c r="N38" s="428" t="s">
        <v>22</v>
      </c>
      <c r="O38" s="428">
        <f>MATRIZ!$I$382</f>
        <v>2.87</v>
      </c>
      <c r="P38" s="439">
        <f t="shared" si="21"/>
        <v>50.47</v>
      </c>
    </row>
    <row r="39" spans="2:16" ht="30.75" customHeight="1" x14ac:dyDescent="0.2">
      <c r="B39" s="1042" t="s">
        <v>187</v>
      </c>
      <c r="C39" s="1014"/>
      <c r="D39" s="1014"/>
      <c r="E39" s="1014"/>
      <c r="F39" s="1043"/>
      <c r="G39" s="237">
        <f>MATRIZ!I336</f>
        <v>33.79</v>
      </c>
      <c r="H39" s="428">
        <f t="shared" si="1"/>
        <v>0.67</v>
      </c>
      <c r="I39" s="428">
        <f t="shared" ref="I39" si="29">TRUNC(G39*20%,2)</f>
        <v>6.75</v>
      </c>
      <c r="J39" s="428">
        <f t="shared" ref="J39" si="30">TRUNC(G39*5%,2)</f>
        <v>1.68</v>
      </c>
      <c r="K39" s="428">
        <f t="shared" ref="K39" si="31">TRUNC(G39*5%,2)</f>
        <v>1.68</v>
      </c>
      <c r="L39" s="428">
        <f t="shared" si="0"/>
        <v>2.02</v>
      </c>
      <c r="M39" s="428">
        <f t="shared" ref="M39" si="32">TRUNC(G39*3%,2)</f>
        <v>1.01</v>
      </c>
      <c r="N39" s="428" t="s">
        <v>22</v>
      </c>
      <c r="O39" s="430" t="s">
        <v>22</v>
      </c>
      <c r="P39" s="439">
        <f t="shared" si="21"/>
        <v>47.6</v>
      </c>
    </row>
    <row r="40" spans="2:16" ht="50.25" customHeight="1" x14ac:dyDescent="0.2">
      <c r="B40" s="1042" t="s">
        <v>188</v>
      </c>
      <c r="C40" s="1014"/>
      <c r="D40" s="1014"/>
      <c r="E40" s="1014"/>
      <c r="F40" s="1043"/>
      <c r="G40" s="237">
        <f>MATRIZ!I337</f>
        <v>513.72</v>
      </c>
      <c r="H40" s="428">
        <f t="shared" si="1"/>
        <v>10.27</v>
      </c>
      <c r="I40" s="428">
        <f t="shared" ref="I40" si="33">TRUNC(G40*20%,2)</f>
        <v>102.74</v>
      </c>
      <c r="J40" s="428">
        <f t="shared" ref="J40" si="34">TRUNC(G40*5%,2)</f>
        <v>25.68</v>
      </c>
      <c r="K40" s="428">
        <f t="shared" ref="K40" si="35">TRUNC(G40*5%,2)</f>
        <v>25.68</v>
      </c>
      <c r="L40" s="428">
        <f t="shared" si="0"/>
        <v>30.82</v>
      </c>
      <c r="M40" s="428">
        <f t="shared" ref="M40" si="36">TRUNC(G40*3%,2)</f>
        <v>15.41</v>
      </c>
      <c r="N40" s="428" t="s">
        <v>22</v>
      </c>
      <c r="O40" s="428">
        <f>MATRIZ!$I$382</f>
        <v>2.87</v>
      </c>
      <c r="P40" s="439">
        <f t="shared" si="21"/>
        <v>727.18999999999994</v>
      </c>
    </row>
    <row r="41" spans="2:16" ht="18" customHeight="1" x14ac:dyDescent="0.2">
      <c r="B41" s="1042" t="s">
        <v>189</v>
      </c>
      <c r="C41" s="1014"/>
      <c r="D41" s="1014"/>
      <c r="E41" s="1014"/>
      <c r="F41" s="1043"/>
      <c r="G41" s="237">
        <f>MATRIZ!I338</f>
        <v>54.06</v>
      </c>
      <c r="H41" s="428">
        <f t="shared" si="1"/>
        <v>1.08</v>
      </c>
      <c r="I41" s="428">
        <f t="shared" ref="I41:I44" si="37">TRUNC(G41*20%,2)</f>
        <v>10.81</v>
      </c>
      <c r="J41" s="428">
        <f t="shared" ref="J41:J44" si="38">TRUNC(G41*5%,2)</f>
        <v>2.7</v>
      </c>
      <c r="K41" s="428">
        <f t="shared" ref="K41:K44" si="39">TRUNC(G41*5%,2)</f>
        <v>2.7</v>
      </c>
      <c r="L41" s="428">
        <f t="shared" si="0"/>
        <v>3.24</v>
      </c>
      <c r="M41" s="428">
        <f t="shared" ref="M41:M44" si="40">TRUNC(G41*3%,2)</f>
        <v>1.62</v>
      </c>
      <c r="N41" s="428" t="s">
        <v>22</v>
      </c>
      <c r="O41" s="428">
        <f>MATRIZ!$I$382</f>
        <v>2.87</v>
      </c>
      <c r="P41" s="439">
        <f t="shared" ref="P41:P44" si="41">SUM(G41:O41)</f>
        <v>79.080000000000013</v>
      </c>
    </row>
    <row r="42" spans="2:16" ht="26.25" customHeight="1" x14ac:dyDescent="0.2">
      <c r="B42" s="1042" t="s">
        <v>190</v>
      </c>
      <c r="C42" s="1014"/>
      <c r="D42" s="1014"/>
      <c r="E42" s="1014"/>
      <c r="F42" s="1043"/>
      <c r="G42" s="237">
        <f>MATRIZ!I339</f>
        <v>10.119999999999999</v>
      </c>
      <c r="H42" s="428">
        <f t="shared" si="1"/>
        <v>0.2</v>
      </c>
      <c r="I42" s="428">
        <f t="shared" si="37"/>
        <v>2.02</v>
      </c>
      <c r="J42" s="428">
        <f t="shared" si="38"/>
        <v>0.5</v>
      </c>
      <c r="K42" s="428">
        <f t="shared" si="39"/>
        <v>0.5</v>
      </c>
      <c r="L42" s="428">
        <f t="shared" si="0"/>
        <v>0.6</v>
      </c>
      <c r="M42" s="428">
        <f t="shared" si="40"/>
        <v>0.3</v>
      </c>
      <c r="N42" s="428" t="s">
        <v>22</v>
      </c>
      <c r="O42" s="428">
        <f>MATRIZ!$I$382</f>
        <v>2.87</v>
      </c>
      <c r="P42" s="439">
        <f t="shared" si="41"/>
        <v>17.11</v>
      </c>
    </row>
    <row r="43" spans="2:16" ht="40.5" customHeight="1" x14ac:dyDescent="0.2">
      <c r="B43" s="1042" t="s">
        <v>191</v>
      </c>
      <c r="C43" s="1014"/>
      <c r="D43" s="1014"/>
      <c r="E43" s="1014"/>
      <c r="F43" s="1043"/>
      <c r="G43" s="237">
        <f>MATRIZ!I340</f>
        <v>33.79</v>
      </c>
      <c r="H43" s="428">
        <f t="shared" si="1"/>
        <v>0.67</v>
      </c>
      <c r="I43" s="428">
        <f t="shared" si="37"/>
        <v>6.75</v>
      </c>
      <c r="J43" s="428">
        <f t="shared" si="38"/>
        <v>1.68</v>
      </c>
      <c r="K43" s="428">
        <f t="shared" si="39"/>
        <v>1.68</v>
      </c>
      <c r="L43" s="428">
        <f t="shared" si="0"/>
        <v>2.02</v>
      </c>
      <c r="M43" s="428">
        <f t="shared" si="40"/>
        <v>1.01</v>
      </c>
      <c r="N43" s="428" t="s">
        <v>22</v>
      </c>
      <c r="O43" s="428">
        <f>MATRIZ!$I$382</f>
        <v>2.87</v>
      </c>
      <c r="P43" s="439">
        <f t="shared" si="41"/>
        <v>50.47</v>
      </c>
    </row>
    <row r="44" spans="2:16" ht="33.75" customHeight="1" x14ac:dyDescent="0.2">
      <c r="B44" s="1042" t="s">
        <v>192</v>
      </c>
      <c r="C44" s="1014"/>
      <c r="D44" s="1014"/>
      <c r="E44" s="1014"/>
      <c r="F44" s="1043"/>
      <c r="G44" s="237">
        <f>MATRIZ!I341</f>
        <v>0.19</v>
      </c>
      <c r="H44" s="428">
        <f t="shared" si="1"/>
        <v>0</v>
      </c>
      <c r="I44" s="428">
        <f t="shared" si="37"/>
        <v>0.03</v>
      </c>
      <c r="J44" s="428">
        <f t="shared" si="38"/>
        <v>0</v>
      </c>
      <c r="K44" s="428">
        <f t="shared" si="39"/>
        <v>0</v>
      </c>
      <c r="L44" s="428">
        <f t="shared" si="0"/>
        <v>0.01</v>
      </c>
      <c r="M44" s="428">
        <f t="shared" si="40"/>
        <v>0</v>
      </c>
      <c r="N44" s="428" t="s">
        <v>22</v>
      </c>
      <c r="O44" s="428">
        <f>MATRIZ!$I$382</f>
        <v>2.87</v>
      </c>
      <c r="P44" s="439">
        <f t="shared" si="41"/>
        <v>3.1</v>
      </c>
    </row>
    <row r="45" spans="2:16" ht="37.5" customHeight="1" x14ac:dyDescent="0.2">
      <c r="B45" s="1042" t="s">
        <v>193</v>
      </c>
      <c r="C45" s="1014"/>
      <c r="D45" s="1014"/>
      <c r="E45" s="1014"/>
      <c r="F45" s="1043"/>
      <c r="G45" s="237" t="str">
        <f>MATRIZ!I342</f>
        <v>---</v>
      </c>
      <c r="H45" s="428" t="s">
        <v>22</v>
      </c>
      <c r="I45" s="428" t="s">
        <v>22</v>
      </c>
      <c r="J45" s="428" t="s">
        <v>22</v>
      </c>
      <c r="K45" s="428" t="s">
        <v>22</v>
      </c>
      <c r="L45" s="428" t="s">
        <v>22</v>
      </c>
      <c r="M45" s="428" t="s">
        <v>22</v>
      </c>
      <c r="N45" s="428" t="s">
        <v>22</v>
      </c>
      <c r="O45" s="428" t="s">
        <v>22</v>
      </c>
      <c r="P45" s="430" t="s">
        <v>22</v>
      </c>
    </row>
    <row r="46" spans="2:16" ht="20.25" customHeight="1" x14ac:dyDescent="0.2">
      <c r="B46" s="1042" t="s">
        <v>194</v>
      </c>
      <c r="C46" s="1014"/>
      <c r="D46" s="1014"/>
      <c r="E46" s="1014"/>
      <c r="F46" s="1043"/>
      <c r="G46" s="237">
        <f>MATRIZ!I343</f>
        <v>101.38</v>
      </c>
      <c r="H46" s="428">
        <f t="shared" si="1"/>
        <v>2.02</v>
      </c>
      <c r="I46" s="428">
        <f t="shared" ref="I46" si="42">TRUNC(G46*20%,2)</f>
        <v>20.27</v>
      </c>
      <c r="J46" s="428">
        <f t="shared" ref="J46" si="43">TRUNC(G46*5%,2)</f>
        <v>5.0599999999999996</v>
      </c>
      <c r="K46" s="428">
        <f t="shared" ref="K46" si="44">TRUNC(G46*5%,2)</f>
        <v>5.0599999999999996</v>
      </c>
      <c r="L46" s="428">
        <f t="shared" si="0"/>
        <v>6.08</v>
      </c>
      <c r="M46" s="428">
        <f t="shared" ref="M46" si="45">TRUNC(G46*3%,2)</f>
        <v>3.04</v>
      </c>
      <c r="N46" s="428" t="s">
        <v>22</v>
      </c>
      <c r="O46" s="428">
        <f>MATRIZ!$I$382</f>
        <v>2.87</v>
      </c>
      <c r="P46" s="439">
        <f t="shared" si="21"/>
        <v>145.78</v>
      </c>
    </row>
    <row r="47" spans="2:16" ht="33.75" customHeight="1" x14ac:dyDescent="0.2">
      <c r="B47" s="1042" t="s">
        <v>195</v>
      </c>
      <c r="C47" s="1014"/>
      <c r="D47" s="1014"/>
      <c r="E47" s="1014"/>
      <c r="F47" s="1043"/>
      <c r="G47" s="237">
        <f>MATRIZ!I344</f>
        <v>0.02</v>
      </c>
      <c r="H47" s="428">
        <f t="shared" ref="H47" si="46">TRUNC(G47*2%,2)</f>
        <v>0</v>
      </c>
      <c r="I47" s="428">
        <f t="shared" ref="I47" si="47">TRUNC(G47*20%,2)</f>
        <v>0</v>
      </c>
      <c r="J47" s="428">
        <f t="shared" ref="J47" si="48">TRUNC(G47*5%,2)</f>
        <v>0</v>
      </c>
      <c r="K47" s="428">
        <f t="shared" ref="K47" si="49">TRUNC(G47*5%,2)</f>
        <v>0</v>
      </c>
      <c r="L47" s="428">
        <f t="shared" si="0"/>
        <v>0</v>
      </c>
      <c r="M47" s="428">
        <f t="shared" ref="M47" si="50">TRUNC(G47*3%,2)</f>
        <v>0</v>
      </c>
      <c r="N47" s="428" t="s">
        <v>22</v>
      </c>
      <c r="O47" s="428" t="s">
        <v>22</v>
      </c>
      <c r="P47" s="439">
        <f t="shared" si="21"/>
        <v>0.02</v>
      </c>
    </row>
    <row r="48" spans="2:16" ht="21" customHeight="1" x14ac:dyDescent="0.2">
      <c r="B48" s="1072" t="s">
        <v>509</v>
      </c>
      <c r="C48" s="921"/>
      <c r="D48" s="921"/>
      <c r="E48" s="921"/>
      <c r="F48" s="921"/>
      <c r="G48" s="466" t="str">
        <f>MATRIZ!I345</f>
        <v>ver item 18</v>
      </c>
      <c r="H48" s="428" t="s">
        <v>22</v>
      </c>
      <c r="I48" s="428" t="s">
        <v>22</v>
      </c>
      <c r="J48" s="428" t="s">
        <v>22</v>
      </c>
      <c r="K48" s="428" t="s">
        <v>22</v>
      </c>
      <c r="L48" s="428" t="s">
        <v>22</v>
      </c>
      <c r="M48" s="428" t="s">
        <v>22</v>
      </c>
      <c r="N48" s="428" t="s">
        <v>22</v>
      </c>
      <c r="O48" s="428" t="s">
        <v>22</v>
      </c>
      <c r="P48" s="430" t="s">
        <v>22</v>
      </c>
    </row>
    <row r="49" spans="2:16" ht="65.25" customHeight="1" x14ac:dyDescent="0.2">
      <c r="B49" s="1042" t="s">
        <v>196</v>
      </c>
      <c r="C49" s="1014"/>
      <c r="D49" s="1014"/>
      <c r="E49" s="1014"/>
      <c r="F49" s="1043"/>
      <c r="G49" s="237">
        <f>MATRIZ!I346</f>
        <v>0.19</v>
      </c>
      <c r="H49" s="428">
        <f t="shared" ref="H49:H52" si="51">TRUNC(G49*2%,2)</f>
        <v>0</v>
      </c>
      <c r="I49" s="428">
        <f t="shared" ref="I49:I52" si="52">TRUNC(G49*20%,2)</f>
        <v>0.03</v>
      </c>
      <c r="J49" s="428">
        <f t="shared" ref="J49:J52" si="53">TRUNC(G49*5%,2)</f>
        <v>0</v>
      </c>
      <c r="K49" s="428">
        <f t="shared" ref="K49:K52" si="54">TRUNC(G49*5%,2)</f>
        <v>0</v>
      </c>
      <c r="L49" s="428">
        <f t="shared" si="0"/>
        <v>0.01</v>
      </c>
      <c r="M49" s="428">
        <f t="shared" ref="M49:M52" si="55">TRUNC(G49*3%,2)</f>
        <v>0</v>
      </c>
      <c r="N49" s="428" t="s">
        <v>22</v>
      </c>
      <c r="O49" s="428">
        <f>MATRIZ!$I$382</f>
        <v>2.87</v>
      </c>
      <c r="P49" s="439">
        <f t="shared" si="21"/>
        <v>3.1</v>
      </c>
    </row>
    <row r="50" spans="2:16" ht="54.75" customHeight="1" x14ac:dyDescent="0.2">
      <c r="B50" s="1042" t="s">
        <v>197</v>
      </c>
      <c r="C50" s="1014"/>
      <c r="D50" s="1014"/>
      <c r="E50" s="1014"/>
      <c r="F50" s="1043"/>
      <c r="G50" s="237">
        <f>MATRIZ!I347</f>
        <v>0.46</v>
      </c>
      <c r="H50" s="428">
        <f t="shared" si="51"/>
        <v>0</v>
      </c>
      <c r="I50" s="428">
        <f t="shared" si="52"/>
        <v>0.09</v>
      </c>
      <c r="J50" s="428">
        <f t="shared" si="53"/>
        <v>0.02</v>
      </c>
      <c r="K50" s="428">
        <f t="shared" si="54"/>
        <v>0.02</v>
      </c>
      <c r="L50" s="428">
        <f t="shared" si="0"/>
        <v>0.02</v>
      </c>
      <c r="M50" s="428">
        <f t="shared" si="55"/>
        <v>0.01</v>
      </c>
      <c r="N50" s="428" t="s">
        <v>22</v>
      </c>
      <c r="O50" s="428">
        <f>MATRIZ!$I$382</f>
        <v>2.87</v>
      </c>
      <c r="P50" s="439">
        <f t="shared" si="21"/>
        <v>3.49</v>
      </c>
    </row>
    <row r="51" spans="2:16" ht="27.75" customHeight="1" x14ac:dyDescent="0.2">
      <c r="B51" s="1042" t="s">
        <v>198</v>
      </c>
      <c r="C51" s="1014"/>
      <c r="D51" s="1014"/>
      <c r="E51" s="1014"/>
      <c r="F51" s="1043"/>
      <c r="G51" s="237">
        <f>MATRIZ!I348</f>
        <v>0.19</v>
      </c>
      <c r="H51" s="428">
        <f t="shared" si="51"/>
        <v>0</v>
      </c>
      <c r="I51" s="428">
        <f t="shared" si="52"/>
        <v>0.03</v>
      </c>
      <c r="J51" s="428">
        <f t="shared" si="53"/>
        <v>0</v>
      </c>
      <c r="K51" s="428">
        <f t="shared" si="54"/>
        <v>0</v>
      </c>
      <c r="L51" s="428">
        <f t="shared" si="0"/>
        <v>0.01</v>
      </c>
      <c r="M51" s="428">
        <f t="shared" si="55"/>
        <v>0</v>
      </c>
      <c r="N51" s="428" t="s">
        <v>22</v>
      </c>
      <c r="O51" s="428">
        <f>MATRIZ!$I$382</f>
        <v>2.87</v>
      </c>
      <c r="P51" s="439">
        <f t="shared" si="21"/>
        <v>3.1</v>
      </c>
    </row>
    <row r="52" spans="2:16" ht="21" customHeight="1" x14ac:dyDescent="0.2">
      <c r="B52" s="1042" t="s">
        <v>528</v>
      </c>
      <c r="C52" s="1014"/>
      <c r="D52" s="1014"/>
      <c r="E52" s="1014"/>
      <c r="F52" s="1043"/>
      <c r="G52" s="237">
        <f>MATRIZ!I349</f>
        <v>54.06</v>
      </c>
      <c r="H52" s="428">
        <f t="shared" si="51"/>
        <v>1.08</v>
      </c>
      <c r="I52" s="428">
        <f t="shared" si="52"/>
        <v>10.81</v>
      </c>
      <c r="J52" s="428">
        <f t="shared" si="53"/>
        <v>2.7</v>
      </c>
      <c r="K52" s="428">
        <f t="shared" si="54"/>
        <v>2.7</v>
      </c>
      <c r="L52" s="428">
        <f t="shared" si="0"/>
        <v>3.24</v>
      </c>
      <c r="M52" s="428">
        <f t="shared" si="55"/>
        <v>1.62</v>
      </c>
      <c r="N52" s="428" t="s">
        <v>22</v>
      </c>
      <c r="O52" s="428">
        <f>MATRIZ!$I$382</f>
        <v>2.87</v>
      </c>
      <c r="P52" s="439">
        <f t="shared" ref="P52" si="56">SUM(G52:O52)</f>
        <v>79.080000000000013</v>
      </c>
    </row>
    <row r="53" spans="2:16" ht="21" customHeight="1" x14ac:dyDescent="0.2">
      <c r="B53" s="1072" t="s">
        <v>509</v>
      </c>
      <c r="C53" s="921"/>
      <c r="D53" s="921"/>
      <c r="E53" s="921"/>
      <c r="F53" s="921"/>
      <c r="G53" s="466" t="str">
        <f>MATRIZ!I350</f>
        <v>ver item 18</v>
      </c>
      <c r="H53" s="428"/>
      <c r="I53" s="428"/>
      <c r="J53" s="428"/>
      <c r="K53" s="428"/>
      <c r="L53" s="428"/>
      <c r="M53" s="428"/>
      <c r="N53" s="428"/>
      <c r="O53" s="428"/>
      <c r="P53" s="439"/>
    </row>
    <row r="54" spans="2:16" ht="69" customHeight="1" x14ac:dyDescent="0.2">
      <c r="B54" s="1042" t="s">
        <v>449</v>
      </c>
      <c r="C54" s="1014"/>
      <c r="D54" s="1014"/>
      <c r="E54" s="1014"/>
      <c r="F54" s="1043"/>
      <c r="G54" s="343" t="str">
        <f>MATRIZ!I351</f>
        <v>50% do item 1</v>
      </c>
      <c r="H54" s="428" t="s">
        <v>22</v>
      </c>
      <c r="I54" s="428" t="s">
        <v>22</v>
      </c>
      <c r="J54" s="428" t="s">
        <v>22</v>
      </c>
      <c r="K54" s="428" t="s">
        <v>22</v>
      </c>
      <c r="L54" s="428" t="s">
        <v>22</v>
      </c>
      <c r="M54" s="428" t="s">
        <v>22</v>
      </c>
      <c r="N54" s="428" t="s">
        <v>22</v>
      </c>
      <c r="O54" s="428" t="s">
        <v>22</v>
      </c>
      <c r="P54" s="430" t="s">
        <v>22</v>
      </c>
    </row>
    <row r="55" spans="2:16" ht="37.5" customHeight="1" x14ac:dyDescent="0.2">
      <c r="B55" s="1042" t="s">
        <v>515</v>
      </c>
      <c r="C55" s="1014"/>
      <c r="D55" s="1014"/>
      <c r="E55" s="1014"/>
      <c r="F55" s="1043"/>
      <c r="G55" s="237"/>
      <c r="H55" s="428"/>
      <c r="I55" s="428"/>
      <c r="J55" s="428"/>
      <c r="K55" s="428"/>
      <c r="L55" s="428"/>
      <c r="M55" s="428"/>
      <c r="N55" s="428"/>
      <c r="O55" s="430"/>
      <c r="P55" s="439"/>
    </row>
    <row r="56" spans="2:16" ht="17.25" customHeight="1" x14ac:dyDescent="0.2">
      <c r="B56" s="264" t="s">
        <v>200</v>
      </c>
      <c r="C56" s="316"/>
      <c r="F56" s="97"/>
      <c r="G56" s="237">
        <f>MATRIZ!I353</f>
        <v>54.06</v>
      </c>
      <c r="H56" s="428">
        <f t="shared" ref="H56:H68" si="57">TRUNC(G56*2%,2)</f>
        <v>1.08</v>
      </c>
      <c r="I56" s="428">
        <f t="shared" ref="I56" si="58">TRUNC(G56*20%,2)</f>
        <v>10.81</v>
      </c>
      <c r="J56" s="428">
        <f t="shared" ref="J56" si="59">TRUNC(G56*5%,2)</f>
        <v>2.7</v>
      </c>
      <c r="K56" s="428">
        <f t="shared" ref="K56" si="60">TRUNC(G56*5%,2)</f>
        <v>2.7</v>
      </c>
      <c r="L56" s="428">
        <f>TRUNC(G56*6%,2)</f>
        <v>3.24</v>
      </c>
      <c r="M56" s="428">
        <f t="shared" ref="M56" si="61">TRUNC(G56*3%,2)</f>
        <v>1.62</v>
      </c>
      <c r="N56" s="428" t="s">
        <v>22</v>
      </c>
      <c r="O56" s="428">
        <f>MATRIZ!$I$382</f>
        <v>2.87</v>
      </c>
      <c r="P56" s="439">
        <f t="shared" ref="P56:P68" si="62">SUM(G56:O56)</f>
        <v>79.080000000000013</v>
      </c>
    </row>
    <row r="57" spans="2:16" ht="15" customHeight="1" x14ac:dyDescent="0.2">
      <c r="B57" s="264" t="s">
        <v>201</v>
      </c>
      <c r="C57" s="316"/>
      <c r="F57" s="97"/>
      <c r="G57" s="237">
        <f>MATRIZ!I354</f>
        <v>108.14</v>
      </c>
      <c r="H57" s="428">
        <f t="shared" si="57"/>
        <v>2.16</v>
      </c>
      <c r="I57" s="428">
        <f t="shared" ref="I57:I68" si="63">TRUNC(G57*20%,2)</f>
        <v>21.62</v>
      </c>
      <c r="J57" s="428">
        <f t="shared" ref="J57:J68" si="64">TRUNC(G57*5%,2)</f>
        <v>5.4</v>
      </c>
      <c r="K57" s="428">
        <f t="shared" ref="K57:K68" si="65">TRUNC(G57*5%,2)</f>
        <v>5.4</v>
      </c>
      <c r="L57" s="428">
        <f t="shared" ref="L57:L68" si="66">TRUNC(G57*6%,2)</f>
        <v>6.48</v>
      </c>
      <c r="M57" s="428">
        <f t="shared" ref="M57:M68" si="67">TRUNC(G57*3%,2)</f>
        <v>3.24</v>
      </c>
      <c r="N57" s="428" t="s">
        <v>22</v>
      </c>
      <c r="O57" s="428">
        <f>MATRIZ!$I$382</f>
        <v>2.87</v>
      </c>
      <c r="P57" s="439">
        <f t="shared" si="62"/>
        <v>155.31</v>
      </c>
    </row>
    <row r="58" spans="2:16" ht="16.5" customHeight="1" x14ac:dyDescent="0.2">
      <c r="B58" s="264" t="s">
        <v>202</v>
      </c>
      <c r="C58" s="316"/>
      <c r="F58" s="97"/>
      <c r="G58" s="237">
        <f>MATRIZ!I355</f>
        <v>162.21</v>
      </c>
      <c r="H58" s="428">
        <f t="shared" si="57"/>
        <v>3.24</v>
      </c>
      <c r="I58" s="428">
        <f t="shared" si="63"/>
        <v>32.44</v>
      </c>
      <c r="J58" s="428">
        <f t="shared" si="64"/>
        <v>8.11</v>
      </c>
      <c r="K58" s="428">
        <f t="shared" si="65"/>
        <v>8.11</v>
      </c>
      <c r="L58" s="428">
        <f t="shared" si="66"/>
        <v>9.73</v>
      </c>
      <c r="M58" s="428">
        <f t="shared" si="67"/>
        <v>4.8600000000000003</v>
      </c>
      <c r="N58" s="428" t="s">
        <v>22</v>
      </c>
      <c r="O58" s="428">
        <f>MATRIZ!$I$382</f>
        <v>2.87</v>
      </c>
      <c r="P58" s="439">
        <f t="shared" si="62"/>
        <v>231.57000000000002</v>
      </c>
    </row>
    <row r="59" spans="2:16" ht="15.75" customHeight="1" x14ac:dyDescent="0.2">
      <c r="B59" s="264" t="s">
        <v>203</v>
      </c>
      <c r="C59" s="316"/>
      <c r="F59" s="97"/>
      <c r="G59" s="237">
        <f>MATRIZ!I356</f>
        <v>216.29</v>
      </c>
      <c r="H59" s="428">
        <f t="shared" si="57"/>
        <v>4.32</v>
      </c>
      <c r="I59" s="428">
        <f t="shared" si="63"/>
        <v>43.25</v>
      </c>
      <c r="J59" s="428">
        <f t="shared" si="64"/>
        <v>10.81</v>
      </c>
      <c r="K59" s="428">
        <f t="shared" si="65"/>
        <v>10.81</v>
      </c>
      <c r="L59" s="428">
        <f t="shared" si="66"/>
        <v>12.97</v>
      </c>
      <c r="M59" s="428">
        <f t="shared" si="67"/>
        <v>6.48</v>
      </c>
      <c r="N59" s="428" t="s">
        <v>22</v>
      </c>
      <c r="O59" s="428">
        <f>MATRIZ!$I$382</f>
        <v>2.87</v>
      </c>
      <c r="P59" s="439">
        <f t="shared" si="62"/>
        <v>307.80000000000007</v>
      </c>
    </row>
    <row r="60" spans="2:16" ht="15.75" customHeight="1" x14ac:dyDescent="0.2">
      <c r="B60" s="264" t="s">
        <v>204</v>
      </c>
      <c r="C60" s="316"/>
      <c r="F60" s="97"/>
      <c r="G60" s="237">
        <f>MATRIZ!I357</f>
        <v>270.38</v>
      </c>
      <c r="H60" s="428">
        <f t="shared" si="57"/>
        <v>5.4</v>
      </c>
      <c r="I60" s="428">
        <f t="shared" si="63"/>
        <v>54.07</v>
      </c>
      <c r="J60" s="428">
        <f t="shared" si="64"/>
        <v>13.51</v>
      </c>
      <c r="K60" s="428">
        <f t="shared" si="65"/>
        <v>13.51</v>
      </c>
      <c r="L60" s="428">
        <f t="shared" si="66"/>
        <v>16.22</v>
      </c>
      <c r="M60" s="428">
        <f t="shared" si="67"/>
        <v>8.11</v>
      </c>
      <c r="N60" s="428" t="s">
        <v>22</v>
      </c>
      <c r="O60" s="428">
        <f>MATRIZ!$I$382</f>
        <v>2.87</v>
      </c>
      <c r="P60" s="439">
        <f t="shared" si="62"/>
        <v>384.06999999999994</v>
      </c>
    </row>
    <row r="61" spans="2:16" ht="16.5" customHeight="1" x14ac:dyDescent="0.2">
      <c r="B61" s="264" t="s">
        <v>205</v>
      </c>
      <c r="C61" s="316"/>
      <c r="F61" s="97"/>
      <c r="G61" s="237">
        <f>MATRIZ!I358</f>
        <v>540.76</v>
      </c>
      <c r="H61" s="428">
        <f t="shared" si="57"/>
        <v>10.81</v>
      </c>
      <c r="I61" s="428">
        <f t="shared" si="63"/>
        <v>108.15</v>
      </c>
      <c r="J61" s="428">
        <f t="shared" si="64"/>
        <v>27.03</v>
      </c>
      <c r="K61" s="428">
        <f t="shared" si="65"/>
        <v>27.03</v>
      </c>
      <c r="L61" s="428">
        <f t="shared" si="66"/>
        <v>32.44</v>
      </c>
      <c r="M61" s="428">
        <f t="shared" si="67"/>
        <v>16.22</v>
      </c>
      <c r="N61" s="428" t="s">
        <v>22</v>
      </c>
      <c r="O61" s="428">
        <f>MATRIZ!$I$382</f>
        <v>2.87</v>
      </c>
      <c r="P61" s="439">
        <f t="shared" si="62"/>
        <v>765.30999999999983</v>
      </c>
    </row>
    <row r="62" spans="2:16" ht="16.5" customHeight="1" x14ac:dyDescent="0.2">
      <c r="B62" s="264" t="s">
        <v>206</v>
      </c>
      <c r="C62" s="316"/>
      <c r="F62" s="97"/>
      <c r="G62" s="237">
        <f>MATRIZ!I359</f>
        <v>811.14</v>
      </c>
      <c r="H62" s="428">
        <f t="shared" si="57"/>
        <v>16.22</v>
      </c>
      <c r="I62" s="428">
        <f t="shared" si="63"/>
        <v>162.22</v>
      </c>
      <c r="J62" s="428">
        <f t="shared" si="64"/>
        <v>40.549999999999997</v>
      </c>
      <c r="K62" s="428">
        <f t="shared" si="65"/>
        <v>40.549999999999997</v>
      </c>
      <c r="L62" s="428">
        <f t="shared" si="66"/>
        <v>48.66</v>
      </c>
      <c r="M62" s="428">
        <f t="shared" si="67"/>
        <v>24.33</v>
      </c>
      <c r="N62" s="428" t="s">
        <v>22</v>
      </c>
      <c r="O62" s="428">
        <f>MATRIZ!$I$382</f>
        <v>2.87</v>
      </c>
      <c r="P62" s="439">
        <f t="shared" si="62"/>
        <v>1146.54</v>
      </c>
    </row>
    <row r="63" spans="2:16" ht="15" customHeight="1" x14ac:dyDescent="0.2">
      <c r="B63" s="264" t="s">
        <v>207</v>
      </c>
      <c r="C63" s="316"/>
      <c r="F63" s="97"/>
      <c r="G63" s="237">
        <f>MATRIZ!I360</f>
        <v>1081.52</v>
      </c>
      <c r="H63" s="428">
        <f t="shared" si="57"/>
        <v>21.63</v>
      </c>
      <c r="I63" s="428">
        <f t="shared" si="63"/>
        <v>216.3</v>
      </c>
      <c r="J63" s="428">
        <f t="shared" si="64"/>
        <v>54.07</v>
      </c>
      <c r="K63" s="428">
        <f t="shared" si="65"/>
        <v>54.07</v>
      </c>
      <c r="L63" s="428">
        <f t="shared" si="66"/>
        <v>64.89</v>
      </c>
      <c r="M63" s="428">
        <f t="shared" si="67"/>
        <v>32.44</v>
      </c>
      <c r="N63" s="428" t="s">
        <v>22</v>
      </c>
      <c r="O63" s="428">
        <f>MATRIZ!$I$382</f>
        <v>2.87</v>
      </c>
      <c r="P63" s="439">
        <f t="shared" si="62"/>
        <v>1527.79</v>
      </c>
    </row>
    <row r="64" spans="2:16" ht="16.5" customHeight="1" x14ac:dyDescent="0.2">
      <c r="B64" s="264" t="s">
        <v>208</v>
      </c>
      <c r="C64" s="316"/>
      <c r="F64" s="97"/>
      <c r="G64" s="237">
        <f>MATRIZ!I361</f>
        <v>1351.9</v>
      </c>
      <c r="H64" s="428">
        <f t="shared" si="57"/>
        <v>27.03</v>
      </c>
      <c r="I64" s="428">
        <f t="shared" si="63"/>
        <v>270.38</v>
      </c>
      <c r="J64" s="428">
        <f t="shared" si="64"/>
        <v>67.59</v>
      </c>
      <c r="K64" s="428">
        <f t="shared" si="65"/>
        <v>67.59</v>
      </c>
      <c r="L64" s="428">
        <f t="shared" si="66"/>
        <v>81.11</v>
      </c>
      <c r="M64" s="428">
        <f t="shared" si="67"/>
        <v>40.549999999999997</v>
      </c>
      <c r="N64" s="428" t="s">
        <v>22</v>
      </c>
      <c r="O64" s="428">
        <f>MATRIZ!$I$382</f>
        <v>2.87</v>
      </c>
      <c r="P64" s="439">
        <f t="shared" si="62"/>
        <v>1909.0199999999995</v>
      </c>
    </row>
    <row r="65" spans="2:16" ht="17.25" customHeight="1" x14ac:dyDescent="0.2">
      <c r="B65" s="264" t="s">
        <v>209</v>
      </c>
      <c r="C65" s="316"/>
      <c r="F65" s="97"/>
      <c r="G65" s="237">
        <f>MATRIZ!I362</f>
        <v>1622.28</v>
      </c>
      <c r="H65" s="428">
        <f t="shared" si="57"/>
        <v>32.44</v>
      </c>
      <c r="I65" s="428">
        <f t="shared" si="63"/>
        <v>324.45</v>
      </c>
      <c r="J65" s="428">
        <f t="shared" si="64"/>
        <v>81.11</v>
      </c>
      <c r="K65" s="428">
        <f t="shared" si="65"/>
        <v>81.11</v>
      </c>
      <c r="L65" s="428">
        <f t="shared" si="66"/>
        <v>97.33</v>
      </c>
      <c r="M65" s="428">
        <f t="shared" si="67"/>
        <v>48.66</v>
      </c>
      <c r="N65" s="428" t="s">
        <v>22</v>
      </c>
      <c r="O65" s="428">
        <f>MATRIZ!$I$382</f>
        <v>2.87</v>
      </c>
      <c r="P65" s="439">
        <f t="shared" si="62"/>
        <v>2290.25</v>
      </c>
    </row>
    <row r="66" spans="2:16" ht="15" customHeight="1" x14ac:dyDescent="0.2">
      <c r="B66" s="264" t="s">
        <v>210</v>
      </c>
      <c r="C66" s="316"/>
      <c r="F66" s="97"/>
      <c r="G66" s="237">
        <f>MATRIZ!I363</f>
        <v>1892.66</v>
      </c>
      <c r="H66" s="428">
        <f t="shared" si="57"/>
        <v>37.85</v>
      </c>
      <c r="I66" s="428">
        <f t="shared" si="63"/>
        <v>378.53</v>
      </c>
      <c r="J66" s="428">
        <f t="shared" si="64"/>
        <v>94.63</v>
      </c>
      <c r="K66" s="428">
        <f t="shared" si="65"/>
        <v>94.63</v>
      </c>
      <c r="L66" s="428">
        <f t="shared" si="66"/>
        <v>113.55</v>
      </c>
      <c r="M66" s="428">
        <f t="shared" si="67"/>
        <v>56.77</v>
      </c>
      <c r="N66" s="428" t="s">
        <v>22</v>
      </c>
      <c r="O66" s="428">
        <f>MATRIZ!$I$382</f>
        <v>2.87</v>
      </c>
      <c r="P66" s="439">
        <f t="shared" si="62"/>
        <v>2671.4900000000002</v>
      </c>
    </row>
    <row r="67" spans="2:16" ht="15.75" customHeight="1" x14ac:dyDescent="0.2">
      <c r="B67" s="264" t="s">
        <v>211</v>
      </c>
      <c r="C67" s="316"/>
      <c r="F67" s="97"/>
      <c r="G67" s="237">
        <f>MATRIZ!I364</f>
        <v>2163.04</v>
      </c>
      <c r="H67" s="428">
        <f t="shared" si="57"/>
        <v>43.26</v>
      </c>
      <c r="I67" s="428">
        <f t="shared" si="63"/>
        <v>432.6</v>
      </c>
      <c r="J67" s="428">
        <f t="shared" si="64"/>
        <v>108.15</v>
      </c>
      <c r="K67" s="428">
        <f t="shared" si="65"/>
        <v>108.15</v>
      </c>
      <c r="L67" s="428">
        <f t="shared" si="66"/>
        <v>129.78</v>
      </c>
      <c r="M67" s="428">
        <f t="shared" si="67"/>
        <v>64.89</v>
      </c>
      <c r="N67" s="428" t="s">
        <v>22</v>
      </c>
      <c r="O67" s="428">
        <f>MATRIZ!$I$382</f>
        <v>2.87</v>
      </c>
      <c r="P67" s="439">
        <f t="shared" si="62"/>
        <v>3052.7400000000002</v>
      </c>
    </row>
    <row r="68" spans="2:16" ht="14.25" customHeight="1" x14ac:dyDescent="0.2">
      <c r="B68" s="264" t="s">
        <v>212</v>
      </c>
      <c r="C68" s="316"/>
      <c r="F68" s="97"/>
      <c r="G68" s="237">
        <f>MATRIZ!I365</f>
        <v>2703.81</v>
      </c>
      <c r="H68" s="428">
        <f t="shared" si="57"/>
        <v>54.07</v>
      </c>
      <c r="I68" s="428">
        <f t="shared" si="63"/>
        <v>540.76</v>
      </c>
      <c r="J68" s="428">
        <f t="shared" si="64"/>
        <v>135.19</v>
      </c>
      <c r="K68" s="428">
        <f t="shared" si="65"/>
        <v>135.19</v>
      </c>
      <c r="L68" s="428">
        <f t="shared" si="66"/>
        <v>162.22</v>
      </c>
      <c r="M68" s="428">
        <f t="shared" si="67"/>
        <v>81.11</v>
      </c>
      <c r="N68" s="428" t="s">
        <v>22</v>
      </c>
      <c r="O68" s="428">
        <f>MATRIZ!$I$382</f>
        <v>2.87</v>
      </c>
      <c r="P68" s="439">
        <f t="shared" si="62"/>
        <v>3815.2200000000003</v>
      </c>
    </row>
    <row r="69" spans="2:16" ht="6.75" customHeight="1" x14ac:dyDescent="0.2">
      <c r="B69" s="440"/>
      <c r="C69" s="441"/>
      <c r="D69" s="426"/>
      <c r="E69" s="441"/>
      <c r="F69" s="442"/>
      <c r="G69" s="443"/>
      <c r="H69" s="443"/>
      <c r="I69" s="444"/>
      <c r="J69" s="445"/>
      <c r="K69" s="445"/>
      <c r="L69" s="445"/>
      <c r="M69" s="445"/>
      <c r="N69" s="445"/>
      <c r="O69" s="444"/>
      <c r="P69" s="446"/>
    </row>
    <row r="70" spans="2:16" ht="12" customHeight="1" x14ac:dyDescent="0.2">
      <c r="B70" s="96"/>
      <c r="C70" s="96"/>
      <c r="E70" s="96"/>
      <c r="F70" s="96"/>
      <c r="G70" s="96"/>
      <c r="H70" s="98"/>
      <c r="P70" s="73"/>
    </row>
    <row r="71" spans="2:16" ht="17.25" customHeight="1" x14ac:dyDescent="0.25">
      <c r="B71" s="265"/>
      <c r="C71" s="266"/>
      <c r="D71" s="26"/>
      <c r="E71" s="267"/>
      <c r="F71" s="267" t="s">
        <v>514</v>
      </c>
      <c r="G71" s="266"/>
      <c r="H71" s="268"/>
      <c r="I71" s="25"/>
      <c r="J71" s="25"/>
      <c r="K71" s="25"/>
      <c r="L71" s="25"/>
      <c r="M71" s="25"/>
      <c r="N71" s="25"/>
      <c r="O71" s="25"/>
      <c r="P71" s="269"/>
    </row>
    <row r="72" spans="2:16" ht="18.75" customHeight="1" x14ac:dyDescent="0.2">
      <c r="B72" s="1017" t="s">
        <v>516</v>
      </c>
      <c r="C72" s="1018"/>
      <c r="D72" s="1018"/>
      <c r="E72" s="1018"/>
      <c r="F72" s="1018"/>
      <c r="G72" s="1018"/>
      <c r="H72" s="1018"/>
      <c r="I72" s="1018"/>
      <c r="J72" s="1018"/>
      <c r="K72" s="1018"/>
      <c r="L72" s="1018"/>
      <c r="M72" s="1018"/>
      <c r="N72" s="1018"/>
      <c r="O72" s="1018"/>
      <c r="P72" s="1019"/>
    </row>
    <row r="73" spans="2:16" ht="12.75" customHeight="1" x14ac:dyDescent="0.2">
      <c r="B73" s="1076" t="s">
        <v>213</v>
      </c>
      <c r="C73" s="1077"/>
      <c r="D73" s="1077"/>
      <c r="E73" s="1077"/>
      <c r="F73" s="1077"/>
      <c r="G73" s="1077"/>
      <c r="H73" s="1077"/>
      <c r="I73" s="1077"/>
      <c r="J73" s="1077"/>
      <c r="K73" s="1077"/>
      <c r="L73" s="1077"/>
      <c r="M73" s="1077"/>
      <c r="N73" s="1077"/>
      <c r="O73" s="1077"/>
      <c r="P73" s="1078"/>
    </row>
    <row r="74" spans="2:16" ht="12.75" customHeight="1" x14ac:dyDescent="0.2">
      <c r="B74" s="1017" t="s">
        <v>214</v>
      </c>
      <c r="C74" s="1018"/>
      <c r="D74" s="1018"/>
      <c r="E74" s="1018"/>
      <c r="F74" s="1018"/>
      <c r="G74" s="1018"/>
      <c r="H74" s="1018"/>
      <c r="I74" s="1018"/>
      <c r="J74" s="1018"/>
      <c r="K74" s="1018"/>
      <c r="L74" s="1018"/>
      <c r="M74" s="1018"/>
      <c r="N74" s="1018"/>
      <c r="O74" s="1018"/>
      <c r="P74" s="1019"/>
    </row>
    <row r="75" spans="2:16" s="2" customFormat="1" ht="19.5" customHeight="1" x14ac:dyDescent="0.25">
      <c r="B75" s="1073" t="s">
        <v>633</v>
      </c>
      <c r="C75" s="1074"/>
      <c r="D75" s="1074"/>
      <c r="E75" s="1074"/>
      <c r="F75" s="1074"/>
      <c r="G75" s="1074"/>
      <c r="H75" s="1074"/>
      <c r="I75" s="1074"/>
      <c r="J75" s="1074"/>
      <c r="K75" s="1074"/>
      <c r="L75" s="1074"/>
      <c r="M75" s="1074"/>
      <c r="N75" s="1074"/>
      <c r="O75" s="1074"/>
      <c r="P75" s="1075"/>
    </row>
  </sheetData>
  <sheetProtection selectLockedCells="1" selectUnlockedCells="1"/>
  <mergeCells count="37">
    <mergeCell ref="B33:C33"/>
    <mergeCell ref="B48:F48"/>
    <mergeCell ref="B53:F53"/>
    <mergeCell ref="B35:C35"/>
    <mergeCell ref="B75:P75"/>
    <mergeCell ref="B55:F55"/>
    <mergeCell ref="B72:P72"/>
    <mergeCell ref="B73:P73"/>
    <mergeCell ref="B74:P74"/>
    <mergeCell ref="B47:F47"/>
    <mergeCell ref="B49:F49"/>
    <mergeCell ref="B50:F50"/>
    <mergeCell ref="B51:F51"/>
    <mergeCell ref="B52:F52"/>
    <mergeCell ref="B54:F54"/>
    <mergeCell ref="B46:F46"/>
    <mergeCell ref="B34:F34"/>
    <mergeCell ref="B36:F36"/>
    <mergeCell ref="B37:F37"/>
    <mergeCell ref="B38:F38"/>
    <mergeCell ref="B39:F39"/>
    <mergeCell ref="B45:F45"/>
    <mergeCell ref="B32:F32"/>
    <mergeCell ref="B1:F2"/>
    <mergeCell ref="G1:P2"/>
    <mergeCell ref="B4:F4"/>
    <mergeCell ref="G4:G5"/>
    <mergeCell ref="N4:N5"/>
    <mergeCell ref="O4:O5"/>
    <mergeCell ref="P4:P5"/>
    <mergeCell ref="B5:F5"/>
    <mergeCell ref="B31:C31"/>
    <mergeCell ref="B40:F40"/>
    <mergeCell ref="B41:F41"/>
    <mergeCell ref="B42:F42"/>
    <mergeCell ref="B43:F43"/>
    <mergeCell ref="B44:F44"/>
  </mergeCells>
  <printOptions horizontalCentered="1"/>
  <pageMargins left="0" right="0" top="0.39370078740157483" bottom="0.19685039370078741" header="0" footer="0"/>
  <pageSetup paperSize="9" scale="7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70"/>
  <sheetViews>
    <sheetView showGridLines="0" zoomScale="80" zoomScaleNormal="80" workbookViewId="0">
      <pane ySplit="2" topLeftCell="A33" activePane="bottomLeft" state="frozen"/>
      <selection activeCell="P60" sqref="P60"/>
      <selection pane="bottomLeft" activeCell="P60" sqref="P60"/>
    </sheetView>
  </sheetViews>
  <sheetFormatPr defaultRowHeight="12.75" x14ac:dyDescent="0.2"/>
  <cols>
    <col min="1" max="1" width="13.85546875" style="495" bestFit="1" customWidth="1"/>
    <col min="2" max="2" width="12" style="495" customWidth="1"/>
    <col min="3" max="3" width="11.28515625" style="495" customWidth="1"/>
    <col min="4" max="4" width="19" style="495" customWidth="1"/>
    <col min="5" max="5" width="23.140625" style="495" customWidth="1"/>
    <col min="6" max="6" width="13.42578125" style="495" customWidth="1"/>
    <col min="7" max="7" width="18.28515625" style="496" customWidth="1"/>
    <col min="8" max="16384" width="9.140625" style="495"/>
  </cols>
  <sheetData>
    <row r="1" spans="2:7" ht="13.5" thickBot="1" x14ac:dyDescent="0.25"/>
    <row r="2" spans="2:7" ht="29.25" customHeight="1" thickBot="1" x14ac:dyDescent="0.25">
      <c r="B2" s="1081" t="s">
        <v>639</v>
      </c>
      <c r="C2" s="1082"/>
      <c r="D2" s="1082"/>
      <c r="E2" s="1082"/>
      <c r="F2" s="1082"/>
      <c r="G2" s="1083"/>
    </row>
    <row r="3" spans="2:7" s="497" customFormat="1" ht="25.5" customHeight="1" x14ac:dyDescent="0.25">
      <c r="B3" s="1084" t="s">
        <v>531</v>
      </c>
      <c r="C3" s="1085"/>
      <c r="D3" s="1085"/>
      <c r="E3" s="1086"/>
      <c r="F3" s="1087" t="s">
        <v>647</v>
      </c>
      <c r="G3" s="1088"/>
    </row>
    <row r="4" spans="2:7" ht="21.75" customHeight="1" x14ac:dyDescent="0.2">
      <c r="B4" s="1089" t="s">
        <v>532</v>
      </c>
      <c r="C4" s="1090"/>
      <c r="D4" s="1090"/>
      <c r="E4" s="1090"/>
      <c r="F4" s="1091"/>
      <c r="G4" s="498" t="s">
        <v>7</v>
      </c>
    </row>
    <row r="5" spans="2:7" ht="15" x14ac:dyDescent="0.2">
      <c r="B5" s="499" t="s">
        <v>49</v>
      </c>
      <c r="C5" s="500"/>
      <c r="D5" s="500"/>
      <c r="E5" s="501" t="s">
        <v>50</v>
      </c>
      <c r="G5" s="502"/>
    </row>
    <row r="6" spans="2:7" s="505" customFormat="1" ht="14.25" customHeight="1" x14ac:dyDescent="0.2">
      <c r="B6" s="503">
        <f>Notas!B5</f>
        <v>0.01</v>
      </c>
      <c r="C6" s="504"/>
      <c r="D6" s="504"/>
      <c r="E6" s="504">
        <f>Notas!E5</f>
        <v>18435.099999999999</v>
      </c>
      <c r="G6" s="506">
        <f>Notas!R5</f>
        <v>487.25999999999993</v>
      </c>
    </row>
    <row r="7" spans="2:7" s="505" customFormat="1" ht="14.25" customHeight="1" x14ac:dyDescent="0.2">
      <c r="B7" s="503">
        <f>Notas!B6</f>
        <v>18435.109999999997</v>
      </c>
      <c r="C7" s="504"/>
      <c r="D7" s="504"/>
      <c r="E7" s="504">
        <f>Notas!E6</f>
        <v>36870.230000000003</v>
      </c>
      <c r="G7" s="506">
        <f>Notas!R6</f>
        <v>754.52</v>
      </c>
    </row>
    <row r="8" spans="2:7" s="505" customFormat="1" ht="14.25" customHeight="1" x14ac:dyDescent="0.2">
      <c r="B8" s="503">
        <f>Notas!B7</f>
        <v>36870.240000000005</v>
      </c>
      <c r="C8" s="504"/>
      <c r="D8" s="504"/>
      <c r="E8" s="504">
        <f>Notas!E7</f>
        <v>55305.35</v>
      </c>
      <c r="G8" s="506">
        <f>Notas!R7</f>
        <v>1021.77</v>
      </c>
    </row>
    <row r="9" spans="2:7" s="505" customFormat="1" ht="14.25" customHeight="1" x14ac:dyDescent="0.2">
      <c r="B9" s="503">
        <f>Notas!B8</f>
        <v>55305.36</v>
      </c>
      <c r="C9" s="504"/>
      <c r="D9" s="504"/>
      <c r="E9" s="504">
        <f>Notas!E8</f>
        <v>73740.490000000005</v>
      </c>
      <c r="G9" s="506">
        <f>Notas!R8</f>
        <v>1235.5099999999998</v>
      </c>
    </row>
    <row r="10" spans="2:7" s="505" customFormat="1" ht="14.25" customHeight="1" x14ac:dyDescent="0.2">
      <c r="B10" s="503">
        <f>Notas!B9</f>
        <v>73740.5</v>
      </c>
      <c r="C10" s="504"/>
      <c r="D10" s="504"/>
      <c r="E10" s="504">
        <f>Notas!E9</f>
        <v>98320.639999999999</v>
      </c>
      <c r="G10" s="506">
        <f>Notas!R9</f>
        <v>2129.9</v>
      </c>
    </row>
    <row r="11" spans="2:7" s="505" customFormat="1" ht="14.25" customHeight="1" x14ac:dyDescent="0.2">
      <c r="B11" s="503">
        <f>Notas!B10</f>
        <v>98320.65</v>
      </c>
      <c r="C11" s="504"/>
      <c r="D11" s="504"/>
      <c r="E11" s="504">
        <f>Notas!E10</f>
        <v>122900.81</v>
      </c>
      <c r="G11" s="506">
        <f>Notas!R10</f>
        <v>2500.4499999999998</v>
      </c>
    </row>
    <row r="12" spans="2:7" s="505" customFormat="1" ht="14.25" customHeight="1" x14ac:dyDescent="0.2">
      <c r="B12" s="503">
        <f>Notas!B11</f>
        <v>122900.81999999999</v>
      </c>
      <c r="C12" s="504"/>
      <c r="D12" s="504"/>
      <c r="E12" s="504">
        <f>Notas!E11</f>
        <v>245801.64</v>
      </c>
      <c r="G12" s="506">
        <f>Notas!R11</f>
        <v>3355.5499999999997</v>
      </c>
    </row>
    <row r="13" spans="2:7" s="505" customFormat="1" ht="14.25" customHeight="1" x14ac:dyDescent="0.2">
      <c r="B13" s="503">
        <f>Notas!B12</f>
        <v>245801.65000000002</v>
      </c>
      <c r="C13" s="504"/>
      <c r="D13" s="504"/>
      <c r="E13" s="504">
        <f>Notas!E12</f>
        <v>491603.3</v>
      </c>
      <c r="G13" s="506">
        <f>Notas!R12</f>
        <v>3594.8999999999996</v>
      </c>
    </row>
    <row r="14" spans="2:7" s="505" customFormat="1" ht="14.25" customHeight="1" x14ac:dyDescent="0.2">
      <c r="B14" s="507" t="s">
        <v>51</v>
      </c>
      <c r="C14" s="508">
        <v>464455.58</v>
      </c>
      <c r="D14" s="1092" t="s">
        <v>641</v>
      </c>
      <c r="E14" s="1092"/>
      <c r="G14" s="506">
        <f>Notas!R13</f>
        <v>311.47000000000003</v>
      </c>
    </row>
    <row r="15" spans="2:7" ht="6" customHeight="1" x14ac:dyDescent="0.2">
      <c r="B15" s="509"/>
      <c r="C15" s="510"/>
      <c r="D15" s="510"/>
      <c r="E15" s="510"/>
      <c r="F15" s="510"/>
      <c r="G15" s="511"/>
    </row>
    <row r="16" spans="2:7" ht="14.25" customHeight="1" x14ac:dyDescent="0.2">
      <c r="B16" s="1093" t="s">
        <v>533</v>
      </c>
      <c r="C16" s="1094"/>
      <c r="D16" s="1094"/>
      <c r="E16" s="1094"/>
      <c r="F16" s="1094"/>
      <c r="G16" s="1095"/>
    </row>
    <row r="17" spans="2:7" s="515" customFormat="1" ht="15.75" customHeight="1" x14ac:dyDescent="0.2">
      <c r="B17" s="512" t="s">
        <v>534</v>
      </c>
      <c r="C17" s="513"/>
      <c r="D17" s="513"/>
      <c r="E17" s="513"/>
      <c r="F17" s="513"/>
      <c r="G17" s="514">
        <f>Notas!$R$17</f>
        <v>487.25999999999993</v>
      </c>
    </row>
    <row r="18" spans="2:7" s="515" customFormat="1" ht="15" customHeight="1" x14ac:dyDescent="0.2">
      <c r="B18" s="1096" t="s">
        <v>535</v>
      </c>
      <c r="C18" s="1097"/>
      <c r="D18" s="1097"/>
      <c r="E18" s="1097"/>
      <c r="F18" s="1097"/>
      <c r="G18" s="506">
        <f>Notas!$F$27</f>
        <v>101700.61</v>
      </c>
    </row>
    <row r="19" spans="2:7" s="515" customFormat="1" ht="15" customHeight="1" x14ac:dyDescent="0.2">
      <c r="B19" s="1098" t="s">
        <v>536</v>
      </c>
      <c r="C19" s="1099"/>
      <c r="D19" s="1099"/>
      <c r="E19" s="1099"/>
      <c r="F19" s="1099"/>
      <c r="G19" s="506">
        <f>+Notas!$R$32</f>
        <v>604.83999999999992</v>
      </c>
    </row>
    <row r="20" spans="2:7" ht="15" customHeight="1" x14ac:dyDescent="0.2">
      <c r="B20" s="1100" t="s">
        <v>113</v>
      </c>
      <c r="C20" s="1101"/>
      <c r="D20" s="1101"/>
      <c r="E20" s="1101"/>
      <c r="F20" s="1101"/>
      <c r="G20" s="1102"/>
    </row>
    <row r="21" spans="2:7" s="515" customFormat="1" x14ac:dyDescent="0.2">
      <c r="B21" s="1098" t="s">
        <v>537</v>
      </c>
      <c r="C21" s="1099"/>
      <c r="D21" s="1099"/>
      <c r="E21" s="1099"/>
      <c r="F21" s="1099"/>
      <c r="G21" s="514">
        <f>+Notas!$R$31</f>
        <v>306.01</v>
      </c>
    </row>
    <row r="22" spans="2:7" s="515" customFormat="1" ht="14.25" customHeight="1" x14ac:dyDescent="0.2">
      <c r="B22" s="1098" t="s">
        <v>538</v>
      </c>
      <c r="C22" s="1099"/>
      <c r="D22" s="1099"/>
      <c r="E22" s="1099"/>
      <c r="F22" s="1103"/>
      <c r="G22" s="506">
        <f>+Notas!$R$34</f>
        <v>731.34000000000015</v>
      </c>
    </row>
    <row r="23" spans="2:7" s="515" customFormat="1" x14ac:dyDescent="0.2">
      <c r="B23" s="516" t="s">
        <v>539</v>
      </c>
      <c r="C23" s="513"/>
      <c r="D23" s="513"/>
      <c r="E23" s="513"/>
      <c r="F23" s="513"/>
      <c r="G23" s="506"/>
    </row>
    <row r="24" spans="2:7" s="515" customFormat="1" x14ac:dyDescent="0.2">
      <c r="B24" s="517" t="s">
        <v>120</v>
      </c>
      <c r="C24" s="513"/>
      <c r="D24" s="513"/>
      <c r="E24" s="513"/>
      <c r="F24" s="513"/>
      <c r="G24" s="506">
        <f>+Notas!$R$40</f>
        <v>82.320000000000007</v>
      </c>
    </row>
    <row r="25" spans="2:7" s="515" customFormat="1" ht="13.5" customHeight="1" x14ac:dyDescent="0.2">
      <c r="B25" s="518" t="s">
        <v>121</v>
      </c>
      <c r="C25" s="513"/>
      <c r="D25" s="513"/>
      <c r="E25" s="513"/>
      <c r="F25" s="513"/>
      <c r="G25" s="506">
        <f>+Notas!$R$41</f>
        <v>571.87</v>
      </c>
    </row>
    <row r="26" spans="2:7" s="515" customFormat="1" ht="13.5" customHeight="1" x14ac:dyDescent="0.2">
      <c r="B26" s="518" t="s">
        <v>123</v>
      </c>
      <c r="C26" s="513"/>
      <c r="D26" s="513"/>
      <c r="E26" s="513"/>
      <c r="F26" s="513"/>
      <c r="G26" s="506">
        <f>+Notas!$R$43</f>
        <v>263.24</v>
      </c>
    </row>
    <row r="27" spans="2:7" s="515" customFormat="1" ht="5.25" customHeight="1" x14ac:dyDescent="0.2">
      <c r="B27" s="518"/>
      <c r="C27" s="513"/>
      <c r="D27" s="513"/>
      <c r="E27" s="513"/>
      <c r="F27" s="513"/>
      <c r="G27" s="506"/>
    </row>
    <row r="28" spans="2:7" s="515" customFormat="1" ht="13.5" customHeight="1" x14ac:dyDescent="0.2">
      <c r="B28" s="516" t="s">
        <v>125</v>
      </c>
      <c r="C28" s="513"/>
      <c r="D28" s="513"/>
      <c r="E28" s="513"/>
      <c r="F28" s="513"/>
      <c r="G28" s="506">
        <v>0</v>
      </c>
    </row>
    <row r="29" spans="2:7" s="515" customFormat="1" ht="13.5" customHeight="1" x14ac:dyDescent="0.2">
      <c r="B29" s="518" t="s">
        <v>126</v>
      </c>
      <c r="C29" s="513"/>
      <c r="D29" s="513"/>
      <c r="E29" s="513"/>
      <c r="F29" s="513"/>
      <c r="G29" s="506">
        <f>+Notas!$R$46</f>
        <v>18.04</v>
      </c>
    </row>
    <row r="30" spans="2:7" s="515" customFormat="1" ht="13.5" customHeight="1" x14ac:dyDescent="0.2">
      <c r="B30" s="518" t="s">
        <v>127</v>
      </c>
      <c r="C30" s="513"/>
      <c r="D30" s="513"/>
      <c r="E30" s="513"/>
      <c r="F30" s="513"/>
      <c r="G30" s="506">
        <f>+Notas!$R$47</f>
        <v>14.560000000000002</v>
      </c>
    </row>
    <row r="31" spans="2:7" s="515" customFormat="1" ht="13.5" customHeight="1" x14ac:dyDescent="0.2">
      <c r="B31" s="518" t="s">
        <v>128</v>
      </c>
      <c r="C31" s="513"/>
      <c r="D31" s="513"/>
      <c r="E31" s="513"/>
      <c r="F31" s="513"/>
      <c r="G31" s="506">
        <f>+Notas!$R$48</f>
        <v>46.45</v>
      </c>
    </row>
    <row r="32" spans="2:7" s="515" customFormat="1" ht="14.25" customHeight="1" x14ac:dyDescent="0.2">
      <c r="B32" s="516" t="s">
        <v>129</v>
      </c>
      <c r="C32" s="513"/>
      <c r="D32" s="513"/>
      <c r="E32" s="513"/>
      <c r="F32" s="513"/>
      <c r="G32" s="506">
        <f>+Notas!$R$49</f>
        <v>14.93</v>
      </c>
    </row>
    <row r="33" spans="2:7" s="515" customFormat="1" ht="15" customHeight="1" x14ac:dyDescent="0.2">
      <c r="B33" s="1079" t="s">
        <v>540</v>
      </c>
      <c r="C33" s="1080"/>
      <c r="D33" s="1080"/>
      <c r="E33" s="1080"/>
      <c r="F33" s="519" t="s">
        <v>541</v>
      </c>
      <c r="G33" s="506">
        <f>+Notas!$R$58</f>
        <v>900.16000000000008</v>
      </c>
    </row>
    <row r="34" spans="2:7" s="515" customFormat="1" ht="12.75" customHeight="1" x14ac:dyDescent="0.2">
      <c r="B34" s="518" t="s">
        <v>542</v>
      </c>
      <c r="C34" s="513"/>
      <c r="D34" s="513"/>
      <c r="E34" s="513"/>
      <c r="F34" s="520"/>
      <c r="G34" s="521">
        <f>+Notas!$R$77</f>
        <v>26.840000000000003</v>
      </c>
    </row>
    <row r="35" spans="2:7" s="515" customFormat="1" ht="12.75" customHeight="1" x14ac:dyDescent="0.2">
      <c r="B35" s="1112" t="s">
        <v>543</v>
      </c>
      <c r="C35" s="1114" t="s">
        <v>153</v>
      </c>
      <c r="D35" s="1114"/>
      <c r="E35" s="1114"/>
      <c r="F35" s="1114"/>
      <c r="G35" s="522">
        <f>+Notas!$R$89</f>
        <v>44.859999999999992</v>
      </c>
    </row>
    <row r="36" spans="2:7" ht="15" customHeight="1" thickBot="1" x14ac:dyDescent="0.25">
      <c r="B36" s="1113"/>
      <c r="C36" s="1115" t="s">
        <v>154</v>
      </c>
      <c r="D36" s="1115"/>
      <c r="E36" s="1115"/>
      <c r="F36" s="1115"/>
      <c r="G36" s="523">
        <f>+Notas!$R$90</f>
        <v>41.989999999999995</v>
      </c>
    </row>
    <row r="37" spans="2:7" ht="13.5" thickBot="1" x14ac:dyDescent="0.25"/>
    <row r="38" spans="2:7" ht="21" customHeight="1" x14ac:dyDescent="0.2">
      <c r="B38" s="1104" t="s">
        <v>544</v>
      </c>
      <c r="C38" s="1105"/>
      <c r="D38" s="1105"/>
      <c r="E38" s="1105"/>
      <c r="F38" s="1116"/>
      <c r="G38" s="524" t="s">
        <v>7</v>
      </c>
    </row>
    <row r="39" spans="2:7" ht="14.25" customHeight="1" x14ac:dyDescent="0.2">
      <c r="B39" s="518" t="s">
        <v>545</v>
      </c>
      <c r="C39" s="518"/>
      <c r="D39" s="518"/>
      <c r="E39" s="518"/>
      <c r="F39" s="515"/>
      <c r="G39" s="525">
        <f>+'R G I'!$S$105</f>
        <v>274.58999999999992</v>
      </c>
    </row>
    <row r="40" spans="2:7" ht="14.25" customHeight="1" x14ac:dyDescent="0.2">
      <c r="B40" s="518" t="s">
        <v>65</v>
      </c>
      <c r="C40" s="518"/>
      <c r="D40" s="518"/>
      <c r="E40" s="518"/>
      <c r="F40" s="515"/>
      <c r="G40" s="521">
        <f>+'R G I'!$S$108</f>
        <v>750.82</v>
      </c>
    </row>
    <row r="41" spans="2:7" ht="14.25" customHeight="1" x14ac:dyDescent="0.2">
      <c r="B41" s="516" t="s">
        <v>546</v>
      </c>
      <c r="C41" s="518"/>
      <c r="D41" s="518"/>
      <c r="E41" s="515"/>
      <c r="F41" s="515"/>
      <c r="G41" s="521">
        <f>+'R G I'!$S$115</f>
        <v>155.98000000000002</v>
      </c>
    </row>
    <row r="42" spans="2:7" x14ac:dyDescent="0.2">
      <c r="B42" s="526" t="s">
        <v>547</v>
      </c>
      <c r="C42" s="518"/>
      <c r="G42" s="521">
        <f>+Notas!$R$90</f>
        <v>41.989999999999995</v>
      </c>
    </row>
    <row r="43" spans="2:7" ht="9" customHeight="1" thickBot="1" x14ac:dyDescent="0.25">
      <c r="B43" s="527"/>
      <c r="C43" s="528"/>
      <c r="D43" s="528"/>
      <c r="E43" s="528"/>
      <c r="F43" s="528"/>
      <c r="G43" s="529"/>
    </row>
    <row r="44" spans="2:7" ht="8.25" customHeight="1" thickBot="1" x14ac:dyDescent="0.25"/>
    <row r="45" spans="2:7" ht="18.75" customHeight="1" thickBot="1" x14ac:dyDescent="0.25">
      <c r="B45" s="1117" t="s">
        <v>548</v>
      </c>
      <c r="C45" s="1118"/>
      <c r="D45" s="1118"/>
      <c r="E45" s="1118"/>
      <c r="F45" s="1118"/>
      <c r="G45" s="530" t="s">
        <v>7</v>
      </c>
    </row>
    <row r="46" spans="2:7" ht="18.75" customHeight="1" x14ac:dyDescent="0.2">
      <c r="B46" s="531" t="s">
        <v>549</v>
      </c>
      <c r="C46" s="532"/>
      <c r="D46" s="532"/>
      <c r="E46" s="532"/>
      <c r="F46" s="532"/>
      <c r="G46" s="533">
        <f>+RCPJ!$P$19</f>
        <v>297.40999999999997</v>
      </c>
    </row>
    <row r="47" spans="2:7" ht="15" customHeight="1" thickBot="1" x14ac:dyDescent="0.25">
      <c r="B47" s="534" t="s">
        <v>550</v>
      </c>
      <c r="C47" s="528"/>
      <c r="D47" s="528"/>
      <c r="E47" s="528"/>
      <c r="F47" s="528"/>
      <c r="G47" s="535">
        <f>+RCPJ!$P$20</f>
        <v>14.689999999999998</v>
      </c>
    </row>
    <row r="48" spans="2:7" ht="8.25" customHeight="1" thickBot="1" x14ac:dyDescent="0.25"/>
    <row r="49" spans="2:7" ht="17.25" customHeight="1" x14ac:dyDescent="0.2">
      <c r="B49" s="1104" t="s">
        <v>551</v>
      </c>
      <c r="C49" s="1105"/>
      <c r="D49" s="1105"/>
      <c r="E49" s="1105"/>
      <c r="F49" s="1105"/>
      <c r="G49" s="530" t="s">
        <v>7</v>
      </c>
    </row>
    <row r="50" spans="2:7" ht="14.25" customHeight="1" x14ac:dyDescent="0.2">
      <c r="B50" s="518" t="s">
        <v>552</v>
      </c>
      <c r="G50" s="525">
        <f>+RTD!$P$37</f>
        <v>345.92000000000007</v>
      </c>
    </row>
    <row r="51" spans="2:7" ht="15" customHeight="1" thickBot="1" x14ac:dyDescent="0.25">
      <c r="B51" s="534" t="s">
        <v>553</v>
      </c>
      <c r="C51" s="528"/>
      <c r="D51" s="528"/>
      <c r="E51" s="528"/>
      <c r="F51" s="528"/>
      <c r="G51" s="535" t="s">
        <v>554</v>
      </c>
    </row>
    <row r="52" spans="2:7" ht="13.5" thickBot="1" x14ac:dyDescent="0.25"/>
    <row r="53" spans="2:7" ht="15.75" x14ac:dyDescent="0.2">
      <c r="B53" s="1104" t="s">
        <v>555</v>
      </c>
      <c r="C53" s="1105"/>
      <c r="D53" s="1105"/>
      <c r="E53" s="1105"/>
      <c r="F53" s="1105"/>
      <c r="G53" s="536" t="s">
        <v>7</v>
      </c>
    </row>
    <row r="54" spans="2:7" x14ac:dyDescent="0.2">
      <c r="B54" s="518" t="s">
        <v>556</v>
      </c>
      <c r="G54" s="525">
        <f>+PROTESTO!$O$86</f>
        <v>44.859999999999992</v>
      </c>
    </row>
    <row r="55" spans="2:7" x14ac:dyDescent="0.2">
      <c r="B55" s="518" t="s">
        <v>557</v>
      </c>
      <c r="G55" s="521">
        <f>+PROTESTO!$O$88</f>
        <v>44.859999999999992</v>
      </c>
    </row>
    <row r="56" spans="2:7" x14ac:dyDescent="0.2">
      <c r="B56" s="518" t="s">
        <v>238</v>
      </c>
      <c r="G56" s="521">
        <f>+PROTESTO!$O$87</f>
        <v>44.859999999999992</v>
      </c>
    </row>
    <row r="57" spans="2:7" ht="27" customHeight="1" thickBot="1" x14ac:dyDescent="0.25">
      <c r="B57" s="537" t="s">
        <v>558</v>
      </c>
      <c r="C57" s="528"/>
      <c r="D57" s="528"/>
      <c r="E57" s="528"/>
      <c r="F57" s="528"/>
      <c r="G57" s="538" t="s">
        <v>559</v>
      </c>
    </row>
    <row r="58" spans="2:7" ht="13.5" thickBot="1" x14ac:dyDescent="0.25">
      <c r="G58" s="539"/>
    </row>
    <row r="59" spans="2:7" ht="15.75" x14ac:dyDescent="0.2">
      <c r="B59" s="1104" t="s">
        <v>560</v>
      </c>
      <c r="C59" s="1105"/>
      <c r="D59" s="1105"/>
      <c r="E59" s="1105"/>
      <c r="F59" s="1105"/>
      <c r="G59" s="536" t="s">
        <v>7</v>
      </c>
    </row>
    <row r="60" spans="2:7" x14ac:dyDescent="0.2">
      <c r="B60" s="518" t="s">
        <v>561</v>
      </c>
      <c r="G60" s="525">
        <f>+MATRIZ!$B$386</f>
        <v>30.65</v>
      </c>
    </row>
    <row r="61" spans="2:7" x14ac:dyDescent="0.2">
      <c r="B61" s="518" t="s">
        <v>562</v>
      </c>
      <c r="G61" s="521">
        <f>+MATRIZ!$E$386</f>
        <v>6.13</v>
      </c>
    </row>
    <row r="62" spans="2:7" x14ac:dyDescent="0.2">
      <c r="B62" s="518" t="s">
        <v>563</v>
      </c>
      <c r="G62" s="521">
        <f>+MATRIZ!$D$386</f>
        <v>0.61</v>
      </c>
    </row>
    <row r="63" spans="2:7" x14ac:dyDescent="0.2">
      <c r="B63" s="518" t="s">
        <v>564</v>
      </c>
      <c r="G63" s="521">
        <f>+MATRIZ!$F$386</f>
        <v>1.53</v>
      </c>
    </row>
    <row r="64" spans="2:7" x14ac:dyDescent="0.2">
      <c r="B64" s="518" t="s">
        <v>565</v>
      </c>
      <c r="G64" s="521">
        <f>+MATRIZ!$G$386</f>
        <v>1.53</v>
      </c>
    </row>
    <row r="65" spans="2:7" ht="13.5" thickBot="1" x14ac:dyDescent="0.25">
      <c r="B65" s="518" t="s">
        <v>566</v>
      </c>
      <c r="G65" s="521">
        <f>+MATRIZ!$H$386</f>
        <v>1.83</v>
      </c>
    </row>
    <row r="66" spans="2:7" ht="13.5" thickBot="1" x14ac:dyDescent="0.25">
      <c r="B66" s="1106" t="s">
        <v>567</v>
      </c>
      <c r="C66" s="1107"/>
      <c r="D66" s="1107"/>
      <c r="E66" s="1107"/>
      <c r="F66" s="1108"/>
      <c r="G66" s="540">
        <f>+MATRIZ!$I$386</f>
        <v>42.28</v>
      </c>
    </row>
    <row r="67" spans="2:7" ht="13.5" thickBot="1" x14ac:dyDescent="0.25">
      <c r="B67" s="1109" t="s">
        <v>568</v>
      </c>
      <c r="C67" s="1110"/>
      <c r="D67" s="1110"/>
      <c r="E67" s="1110"/>
      <c r="F67" s="1111"/>
      <c r="G67" s="541">
        <f>+MATRIZ!$I$390</f>
        <v>1.9200000000000002</v>
      </c>
    </row>
    <row r="70" spans="2:7" ht="15" customHeight="1" x14ac:dyDescent="0.2"/>
  </sheetData>
  <mergeCells count="22">
    <mergeCell ref="B53:F53"/>
    <mergeCell ref="B59:F59"/>
    <mergeCell ref="B66:F66"/>
    <mergeCell ref="B67:F67"/>
    <mergeCell ref="B35:B36"/>
    <mergeCell ref="C35:F35"/>
    <mergeCell ref="C36:F36"/>
    <mergeCell ref="B38:F38"/>
    <mergeCell ref="B45:F45"/>
    <mergeCell ref="B49:F49"/>
    <mergeCell ref="B33:E33"/>
    <mergeCell ref="B2:G2"/>
    <mergeCell ref="B3:E3"/>
    <mergeCell ref="F3:G3"/>
    <mergeCell ref="B4:F4"/>
    <mergeCell ref="D14:E14"/>
    <mergeCell ref="B16:G16"/>
    <mergeCell ref="B18:F18"/>
    <mergeCell ref="B19:F19"/>
    <mergeCell ref="B20:G20"/>
    <mergeCell ref="B21:F21"/>
    <mergeCell ref="B22:F22"/>
  </mergeCells>
  <pageMargins left="0.39370078740157483" right="0.19685039370078741" top="0.19685039370078741" bottom="0.19685039370078741" header="0.31496062992125984" footer="0.11811023622047245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G77"/>
  <sheetViews>
    <sheetView showGridLines="0" zoomScale="80" zoomScaleNormal="80" workbookViewId="0">
      <pane ySplit="2" topLeftCell="A42" activePane="bottomLeft" state="frozen"/>
      <selection activeCell="P60" sqref="P60"/>
      <selection pane="bottomLeft" activeCell="P60" sqref="P60"/>
    </sheetView>
  </sheetViews>
  <sheetFormatPr defaultRowHeight="12.75" x14ac:dyDescent="0.2"/>
  <cols>
    <col min="1" max="1" width="5.140625" style="542" customWidth="1"/>
    <col min="2" max="2" width="12" style="542" customWidth="1"/>
    <col min="3" max="3" width="10.85546875" style="542" bestFit="1" customWidth="1"/>
    <col min="4" max="4" width="19" style="542" customWidth="1"/>
    <col min="5" max="5" width="23.140625" style="542" customWidth="1"/>
    <col min="6" max="6" width="13.42578125" style="542" customWidth="1"/>
    <col min="7" max="7" width="18.28515625" style="543" customWidth="1"/>
    <col min="8" max="16384" width="9.140625" style="542"/>
  </cols>
  <sheetData>
    <row r="1" spans="2:7" ht="9.75" customHeight="1" thickBot="1" x14ac:dyDescent="0.25"/>
    <row r="2" spans="2:7" s="544" customFormat="1" ht="21.75" customHeight="1" thickBot="1" x14ac:dyDescent="0.3">
      <c r="B2" s="1121" t="s">
        <v>569</v>
      </c>
      <c r="C2" s="1122"/>
      <c r="D2" s="1122"/>
      <c r="E2" s="1123"/>
      <c r="F2" s="1122" t="str">
        <f>Resumo!F3</f>
        <v>PORTARIA n.º 423/2025</v>
      </c>
      <c r="G2" s="1123"/>
    </row>
    <row r="3" spans="2:7" ht="16.5" customHeight="1" x14ac:dyDescent="0.2">
      <c r="B3" s="1124" t="s">
        <v>532</v>
      </c>
      <c r="C3" s="1125"/>
      <c r="D3" s="1125"/>
      <c r="E3" s="1125"/>
      <c r="F3" s="1126"/>
      <c r="G3" s="545" t="s">
        <v>7</v>
      </c>
    </row>
    <row r="4" spans="2:7" ht="15" x14ac:dyDescent="0.2">
      <c r="B4" s="546" t="s">
        <v>49</v>
      </c>
      <c r="C4" s="547"/>
      <c r="D4" s="547"/>
      <c r="E4" s="547" t="s">
        <v>50</v>
      </c>
      <c r="G4" s="548"/>
    </row>
    <row r="5" spans="2:7" s="551" customFormat="1" ht="14.25" customHeight="1" x14ac:dyDescent="0.2">
      <c r="B5" s="549">
        <f>MATRIZ!B142</f>
        <v>0.01</v>
      </c>
      <c r="C5" s="550"/>
      <c r="D5" s="550"/>
      <c r="E5" s="550">
        <f>MATRIZ!H142</f>
        <v>18435.099999999999</v>
      </c>
      <c r="G5" s="552">
        <f>Notas!R5</f>
        <v>487.25999999999993</v>
      </c>
    </row>
    <row r="6" spans="2:7" s="551" customFormat="1" ht="14.25" customHeight="1" x14ac:dyDescent="0.2">
      <c r="B6" s="549">
        <f>MATRIZ!B143</f>
        <v>18435.109999999997</v>
      </c>
      <c r="C6" s="550"/>
      <c r="D6" s="550"/>
      <c r="E6" s="550">
        <f>MATRIZ!H143</f>
        <v>36870.230000000003</v>
      </c>
      <c r="G6" s="552">
        <f>Notas!R6</f>
        <v>754.52</v>
      </c>
    </row>
    <row r="7" spans="2:7" s="551" customFormat="1" ht="14.25" customHeight="1" x14ac:dyDescent="0.2">
      <c r="B7" s="549">
        <f>MATRIZ!B144</f>
        <v>36870.240000000005</v>
      </c>
      <c r="C7" s="550"/>
      <c r="D7" s="550"/>
      <c r="E7" s="550">
        <f>MATRIZ!H144</f>
        <v>55305.35</v>
      </c>
      <c r="G7" s="552">
        <f>Notas!R7</f>
        <v>1021.77</v>
      </c>
    </row>
    <row r="8" spans="2:7" s="551" customFormat="1" ht="14.25" customHeight="1" x14ac:dyDescent="0.2">
      <c r="B8" s="549">
        <f>MATRIZ!B145</f>
        <v>55305.36</v>
      </c>
      <c r="C8" s="550"/>
      <c r="D8" s="550"/>
      <c r="E8" s="550">
        <f>MATRIZ!H145</f>
        <v>73740.490000000005</v>
      </c>
      <c r="G8" s="552">
        <f>Notas!R8</f>
        <v>1235.5099999999998</v>
      </c>
    </row>
    <row r="9" spans="2:7" s="551" customFormat="1" ht="14.25" customHeight="1" x14ac:dyDescent="0.2">
      <c r="B9" s="549">
        <f>MATRIZ!B146</f>
        <v>73740.5</v>
      </c>
      <c r="C9" s="550"/>
      <c r="D9" s="550"/>
      <c r="E9" s="550">
        <f>MATRIZ!H146</f>
        <v>98320.639999999999</v>
      </c>
      <c r="G9" s="552">
        <f>Notas!R9</f>
        <v>2129.9</v>
      </c>
    </row>
    <row r="10" spans="2:7" s="551" customFormat="1" ht="14.25" customHeight="1" x14ac:dyDescent="0.2">
      <c r="B10" s="549">
        <f>MATRIZ!B147</f>
        <v>98320.65</v>
      </c>
      <c r="C10" s="550"/>
      <c r="D10" s="550"/>
      <c r="E10" s="550">
        <f>MATRIZ!H147</f>
        <v>122900.81</v>
      </c>
      <c r="G10" s="552">
        <f>Notas!R10</f>
        <v>2500.4499999999998</v>
      </c>
    </row>
    <row r="11" spans="2:7" s="551" customFormat="1" ht="14.25" customHeight="1" x14ac:dyDescent="0.2">
      <c r="B11" s="549">
        <f>MATRIZ!B148</f>
        <v>122900.81999999999</v>
      </c>
      <c r="C11" s="550"/>
      <c r="D11" s="550"/>
      <c r="E11" s="550">
        <f>MATRIZ!H148</f>
        <v>245801.64</v>
      </c>
      <c r="G11" s="552">
        <f>Notas!R11</f>
        <v>3355.5499999999997</v>
      </c>
    </row>
    <row r="12" spans="2:7" s="551" customFormat="1" ht="14.25" customHeight="1" x14ac:dyDescent="0.2">
      <c r="B12" s="549">
        <f>MATRIZ!B149</f>
        <v>245801.65000000002</v>
      </c>
      <c r="C12" s="550"/>
      <c r="D12" s="550"/>
      <c r="E12" s="550">
        <f>MATRIZ!H149</f>
        <v>491603.3</v>
      </c>
      <c r="G12" s="552">
        <f>Notas!R12</f>
        <v>3594.8999999999996</v>
      </c>
    </row>
    <row r="13" spans="2:7" s="551" customFormat="1" ht="14.25" customHeight="1" x14ac:dyDescent="0.2">
      <c r="B13" s="553" t="s">
        <v>51</v>
      </c>
      <c r="C13" s="554">
        <f>Resumo!C14</f>
        <v>464455.58</v>
      </c>
      <c r="D13" s="1127" t="str">
        <f>Resumo!D14</f>
        <v>A cada 116.113,88 cobrar mais</v>
      </c>
      <c r="E13" s="1127"/>
      <c r="G13" s="552">
        <f>Notas!R13</f>
        <v>311.47000000000003</v>
      </c>
    </row>
    <row r="14" spans="2:7" ht="7.5" customHeight="1" x14ac:dyDescent="0.2">
      <c r="B14" s="555"/>
      <c r="C14" s="556"/>
      <c r="D14" s="556"/>
      <c r="E14" s="556"/>
      <c r="F14" s="556"/>
      <c r="G14" s="557"/>
    </row>
    <row r="15" spans="2:7" s="558" customFormat="1" ht="22.5" customHeight="1" x14ac:dyDescent="0.2">
      <c r="B15" s="1128" t="s">
        <v>570</v>
      </c>
      <c r="C15" s="1129"/>
      <c r="D15" s="1129"/>
      <c r="E15" s="1129"/>
      <c r="F15" s="1129"/>
      <c r="G15" s="552">
        <f>Notas!R28</f>
        <v>2905.35</v>
      </c>
    </row>
    <row r="16" spans="2:7" s="558" customFormat="1" ht="17.25" customHeight="1" x14ac:dyDescent="0.2">
      <c r="B16" s="1119" t="s">
        <v>112</v>
      </c>
      <c r="C16" s="1120"/>
      <c r="D16" s="1120"/>
      <c r="E16" s="1120"/>
      <c r="F16" s="1120"/>
      <c r="G16" s="559">
        <f>Notas!R29</f>
        <v>199.90999999999997</v>
      </c>
    </row>
    <row r="17" spans="2:7" ht="14.25" customHeight="1" x14ac:dyDescent="0.2">
      <c r="B17" s="1134" t="s">
        <v>533</v>
      </c>
      <c r="C17" s="1135"/>
      <c r="D17" s="1135"/>
      <c r="E17" s="1135"/>
      <c r="F17" s="1135"/>
      <c r="G17" s="1136"/>
    </row>
    <row r="18" spans="2:7" s="558" customFormat="1" x14ac:dyDescent="0.2">
      <c r="B18" s="560" t="s">
        <v>642</v>
      </c>
      <c r="C18" s="561"/>
      <c r="D18" s="561"/>
      <c r="E18" s="561"/>
      <c r="F18" s="561"/>
      <c r="G18" s="562">
        <f>Notas!R17</f>
        <v>487.25999999999993</v>
      </c>
    </row>
    <row r="19" spans="2:7" s="558" customFormat="1" ht="11.25" customHeight="1" x14ac:dyDescent="0.2">
      <c r="B19" s="1137" t="s">
        <v>571</v>
      </c>
      <c r="C19" s="1138"/>
      <c r="D19" s="1138"/>
      <c r="E19" s="1138"/>
      <c r="F19" s="1138"/>
      <c r="G19" s="552">
        <f>Notas!M26</f>
        <v>101700.61</v>
      </c>
    </row>
    <row r="20" spans="2:7" ht="19.5" customHeight="1" x14ac:dyDescent="0.2">
      <c r="B20" s="1139" t="s">
        <v>113</v>
      </c>
      <c r="C20" s="1140"/>
      <c r="D20" s="1140"/>
      <c r="E20" s="1140"/>
      <c r="F20" s="1140"/>
      <c r="G20" s="1141"/>
    </row>
    <row r="21" spans="2:7" s="558" customFormat="1" ht="25.5" customHeight="1" x14ac:dyDescent="0.2">
      <c r="B21" s="1128" t="s">
        <v>572</v>
      </c>
      <c r="C21" s="1129"/>
      <c r="D21" s="1129"/>
      <c r="E21" s="1129"/>
      <c r="F21" s="1129"/>
      <c r="G21" s="562">
        <f>Notas!R31</f>
        <v>306.01</v>
      </c>
    </row>
    <row r="22" spans="2:7" s="558" customFormat="1" ht="24" customHeight="1" x14ac:dyDescent="0.2">
      <c r="B22" s="1128" t="s">
        <v>536</v>
      </c>
      <c r="C22" s="1129"/>
      <c r="D22" s="1129"/>
      <c r="E22" s="1129"/>
      <c r="F22" s="1129"/>
      <c r="G22" s="552">
        <f>Notas!R32</f>
        <v>604.83999999999992</v>
      </c>
    </row>
    <row r="23" spans="2:7" s="558" customFormat="1" ht="16.5" customHeight="1" x14ac:dyDescent="0.2">
      <c r="B23" s="563" t="s">
        <v>538</v>
      </c>
      <c r="C23" s="564"/>
      <c r="D23" s="564"/>
      <c r="E23" s="564"/>
      <c r="F23" s="564"/>
      <c r="G23" s="552">
        <f>Notas!R34</f>
        <v>731.34000000000015</v>
      </c>
    </row>
    <row r="24" spans="2:7" s="567" customFormat="1" ht="12.75" customHeight="1" x14ac:dyDescent="0.25">
      <c r="B24" s="565" t="s">
        <v>580</v>
      </c>
      <c r="C24" s="566"/>
      <c r="D24" s="566"/>
      <c r="E24" s="566"/>
      <c r="F24" s="566"/>
      <c r="G24" s="552">
        <f>Notas!R35</f>
        <v>262.38</v>
      </c>
    </row>
    <row r="25" spans="2:7" s="558" customFormat="1" ht="14.25" customHeight="1" x14ac:dyDescent="0.2">
      <c r="B25" s="568" t="s">
        <v>573</v>
      </c>
      <c r="C25" s="569"/>
      <c r="D25" s="561"/>
      <c r="E25" s="561"/>
      <c r="F25" s="561"/>
      <c r="G25" s="552" t="s">
        <v>247</v>
      </c>
    </row>
    <row r="26" spans="2:7" s="558" customFormat="1" ht="3" customHeight="1" x14ac:dyDescent="0.2">
      <c r="B26" s="568"/>
      <c r="C26" s="561"/>
      <c r="D26" s="561"/>
      <c r="E26" s="561"/>
      <c r="F26" s="561"/>
      <c r="G26" s="552"/>
    </row>
    <row r="27" spans="2:7" s="558" customFormat="1" ht="13.5" customHeight="1" x14ac:dyDescent="0.2">
      <c r="B27" s="568" t="s">
        <v>117</v>
      </c>
      <c r="C27" s="561"/>
      <c r="D27" s="561"/>
      <c r="E27" s="561"/>
      <c r="F27" s="561"/>
      <c r="G27" s="552">
        <f>Notas!R37</f>
        <v>1604.7299999999996</v>
      </c>
    </row>
    <row r="28" spans="2:7" s="558" customFormat="1" ht="12" customHeight="1" x14ac:dyDescent="0.2">
      <c r="B28" s="568" t="s">
        <v>118</v>
      </c>
      <c r="C28" s="561"/>
      <c r="D28" s="561"/>
      <c r="E28" s="561"/>
      <c r="F28" s="561"/>
      <c r="G28" s="552">
        <f>Notas!R38</f>
        <v>35.43</v>
      </c>
    </row>
    <row r="29" spans="2:7" s="558" customFormat="1" ht="1.5" customHeight="1" x14ac:dyDescent="0.2">
      <c r="B29" s="568"/>
      <c r="C29" s="561"/>
      <c r="D29" s="561"/>
      <c r="E29" s="561"/>
      <c r="F29" s="561"/>
      <c r="G29" s="552"/>
    </row>
    <row r="30" spans="2:7" s="558" customFormat="1" ht="15" customHeight="1" x14ac:dyDescent="0.2">
      <c r="B30" s="570" t="s">
        <v>119</v>
      </c>
      <c r="C30" s="561"/>
      <c r="D30" s="561"/>
      <c r="E30" s="561"/>
      <c r="F30" s="561"/>
      <c r="G30" s="552"/>
    </row>
    <row r="31" spans="2:7" s="558" customFormat="1" ht="14.25" customHeight="1" x14ac:dyDescent="0.2">
      <c r="B31" s="568" t="s">
        <v>120</v>
      </c>
      <c r="C31" s="561"/>
      <c r="D31" s="561"/>
      <c r="E31" s="561"/>
      <c r="F31" s="561"/>
      <c r="G31" s="552">
        <f>Notas!R40</f>
        <v>82.320000000000007</v>
      </c>
    </row>
    <row r="32" spans="2:7" s="558" customFormat="1" ht="13.5" customHeight="1" x14ac:dyDescent="0.2">
      <c r="B32" s="568" t="s">
        <v>121</v>
      </c>
      <c r="C32" s="561"/>
      <c r="D32" s="561"/>
      <c r="E32" s="561"/>
      <c r="F32" s="561"/>
      <c r="G32" s="552">
        <f>Notas!R41</f>
        <v>571.87</v>
      </c>
    </row>
    <row r="33" spans="2:7" s="558" customFormat="1" ht="13.5" customHeight="1" x14ac:dyDescent="0.2">
      <c r="B33" s="568" t="s">
        <v>122</v>
      </c>
      <c r="C33" s="561"/>
      <c r="D33" s="561"/>
      <c r="E33" s="561"/>
      <c r="F33" s="561"/>
      <c r="G33" s="552">
        <v>0</v>
      </c>
    </row>
    <row r="34" spans="2:7" s="558" customFormat="1" ht="13.5" customHeight="1" x14ac:dyDescent="0.2">
      <c r="B34" s="568" t="s">
        <v>123</v>
      </c>
      <c r="C34" s="561"/>
      <c r="D34" s="561"/>
      <c r="E34" s="561"/>
      <c r="F34" s="561"/>
      <c r="G34" s="552">
        <f>Notas!R43</f>
        <v>263.24</v>
      </c>
    </row>
    <row r="35" spans="2:7" s="558" customFormat="1" ht="13.5" customHeight="1" x14ac:dyDescent="0.2">
      <c r="B35" s="568" t="s">
        <v>124</v>
      </c>
      <c r="C35" s="561"/>
      <c r="D35" s="561"/>
      <c r="E35" s="561"/>
      <c r="F35" s="561"/>
      <c r="G35" s="552">
        <f>Notas!R44</f>
        <v>17.61</v>
      </c>
    </row>
    <row r="36" spans="2:7" s="558" customFormat="1" ht="1.5" customHeight="1" x14ac:dyDescent="0.2">
      <c r="B36" s="568"/>
      <c r="C36" s="561"/>
      <c r="D36" s="561"/>
      <c r="E36" s="561"/>
      <c r="F36" s="561"/>
      <c r="G36" s="552"/>
    </row>
    <row r="37" spans="2:7" s="558" customFormat="1" ht="13.5" customHeight="1" x14ac:dyDescent="0.2">
      <c r="B37" s="570" t="s">
        <v>125</v>
      </c>
      <c r="C37" s="561"/>
      <c r="D37" s="561"/>
      <c r="E37" s="561"/>
      <c r="F37" s="561"/>
      <c r="G37" s="552">
        <v>0</v>
      </c>
    </row>
    <row r="38" spans="2:7" s="558" customFormat="1" ht="13.5" customHeight="1" x14ac:dyDescent="0.2">
      <c r="B38" s="568" t="s">
        <v>126</v>
      </c>
      <c r="C38" s="561"/>
      <c r="D38" s="561"/>
      <c r="E38" s="561"/>
      <c r="F38" s="561"/>
      <c r="G38" s="552">
        <f>Notas!R46</f>
        <v>18.04</v>
      </c>
    </row>
    <row r="39" spans="2:7" s="558" customFormat="1" ht="13.5" customHeight="1" x14ac:dyDescent="0.2">
      <c r="B39" s="568" t="s">
        <v>127</v>
      </c>
      <c r="C39" s="561"/>
      <c r="D39" s="561"/>
      <c r="E39" s="561"/>
      <c r="F39" s="561"/>
      <c r="G39" s="552">
        <f>Notas!R47</f>
        <v>14.560000000000002</v>
      </c>
    </row>
    <row r="40" spans="2:7" s="558" customFormat="1" ht="13.5" customHeight="1" x14ac:dyDescent="0.2">
      <c r="B40" s="568" t="s">
        <v>128</v>
      </c>
      <c r="C40" s="561"/>
      <c r="D40" s="561"/>
      <c r="E40" s="561"/>
      <c r="F40" s="561"/>
      <c r="G40" s="552">
        <f>Notas!R48</f>
        <v>46.45</v>
      </c>
    </row>
    <row r="41" spans="2:7" s="558" customFormat="1" ht="16.5" customHeight="1" x14ac:dyDescent="0.2">
      <c r="B41" s="570" t="s">
        <v>129</v>
      </c>
      <c r="C41" s="561"/>
      <c r="D41" s="561"/>
      <c r="E41" s="561"/>
      <c r="F41" s="561"/>
      <c r="G41" s="552">
        <f>Notas!R49</f>
        <v>14.93</v>
      </c>
    </row>
    <row r="42" spans="2:7" s="558" customFormat="1" ht="15" customHeight="1" x14ac:dyDescent="0.2">
      <c r="B42" s="571" t="s">
        <v>130</v>
      </c>
      <c r="C42" s="561"/>
      <c r="D42" s="561"/>
      <c r="E42" s="561"/>
      <c r="F42" s="561"/>
      <c r="G42" s="552">
        <v>0</v>
      </c>
    </row>
    <row r="43" spans="2:7" s="558" customFormat="1" ht="12" customHeight="1" x14ac:dyDescent="0.2">
      <c r="B43" s="568" t="s">
        <v>131</v>
      </c>
      <c r="C43" s="561"/>
      <c r="D43" s="561"/>
      <c r="E43" s="561"/>
      <c r="F43" s="561"/>
      <c r="G43" s="552">
        <v>0</v>
      </c>
    </row>
    <row r="44" spans="2:7" s="558" customFormat="1" ht="12" customHeight="1" x14ac:dyDescent="0.2">
      <c r="B44" s="568" t="s">
        <v>132</v>
      </c>
      <c r="C44" s="561"/>
      <c r="D44" s="561"/>
      <c r="E44" s="561"/>
      <c r="F44" s="561"/>
      <c r="G44" s="552">
        <f>Notas!R54</f>
        <v>629.30999999999995</v>
      </c>
    </row>
    <row r="45" spans="2:7" s="558" customFormat="1" ht="12" customHeight="1" x14ac:dyDescent="0.2">
      <c r="B45" s="568" t="s">
        <v>133</v>
      </c>
      <c r="C45" s="561"/>
      <c r="D45" s="561"/>
      <c r="E45" s="561"/>
      <c r="F45" s="561"/>
      <c r="G45" s="552">
        <f>Notas!R55</f>
        <v>900.16000000000008</v>
      </c>
    </row>
    <row r="46" spans="2:7" s="558" customFormat="1" ht="12" customHeight="1" x14ac:dyDescent="0.2">
      <c r="B46" s="568" t="s">
        <v>134</v>
      </c>
      <c r="C46" s="561"/>
      <c r="D46" s="561"/>
      <c r="E46" s="561"/>
      <c r="F46" s="561"/>
      <c r="G46" s="552">
        <v>0</v>
      </c>
    </row>
    <row r="47" spans="2:7" s="558" customFormat="1" ht="12" customHeight="1" x14ac:dyDescent="0.2">
      <c r="B47" s="568" t="s">
        <v>136</v>
      </c>
      <c r="C47" s="561"/>
      <c r="D47" s="561"/>
      <c r="E47" s="561"/>
      <c r="F47" s="572"/>
      <c r="G47" s="552">
        <f>Notas!R57</f>
        <v>329.99</v>
      </c>
    </row>
    <row r="48" spans="2:7" s="558" customFormat="1" ht="12" customHeight="1" x14ac:dyDescent="0.2">
      <c r="B48" s="568" t="s">
        <v>137</v>
      </c>
      <c r="C48" s="561"/>
      <c r="D48" s="561"/>
      <c r="E48" s="561"/>
      <c r="F48" s="572"/>
      <c r="G48" s="552">
        <f>Notas!R58</f>
        <v>900.16000000000008</v>
      </c>
    </row>
    <row r="49" spans="2:7" s="558" customFormat="1" ht="13.5" customHeight="1" x14ac:dyDescent="0.2">
      <c r="B49" s="571" t="s">
        <v>574</v>
      </c>
      <c r="C49" s="561"/>
      <c r="D49" s="561"/>
      <c r="E49" s="561"/>
      <c r="F49" s="572"/>
      <c r="G49" s="552">
        <f>Notas!R59</f>
        <v>522.15000000000009</v>
      </c>
    </row>
    <row r="50" spans="2:7" s="558" customFormat="1" ht="13.5" customHeight="1" x14ac:dyDescent="0.2">
      <c r="B50" s="568" t="s">
        <v>139</v>
      </c>
      <c r="C50" s="561"/>
      <c r="D50" s="561"/>
      <c r="E50" s="561"/>
      <c r="F50" s="572"/>
      <c r="G50" s="552">
        <f>Notas!R60</f>
        <v>238.68000000000004</v>
      </c>
    </row>
    <row r="51" spans="2:7" s="558" customFormat="1" ht="15" customHeight="1" x14ac:dyDescent="0.2">
      <c r="B51" s="571" t="s">
        <v>575</v>
      </c>
      <c r="C51" s="561"/>
      <c r="D51" s="561"/>
      <c r="E51" s="561"/>
      <c r="F51" s="572"/>
      <c r="G51" s="552">
        <v>0</v>
      </c>
    </row>
    <row r="52" spans="2:7" s="558" customFormat="1" ht="11.25" customHeight="1" x14ac:dyDescent="0.2">
      <c r="B52" s="568">
        <f>Notas!B63</f>
        <v>0.01</v>
      </c>
      <c r="C52" s="561"/>
      <c r="D52" s="561" t="s">
        <v>11</v>
      </c>
      <c r="E52" s="561">
        <f>Notas!E63</f>
        <v>18435.099999999999</v>
      </c>
      <c r="F52" s="572"/>
      <c r="G52" s="552">
        <f>Notas!R63</f>
        <v>454.68999999999994</v>
      </c>
    </row>
    <row r="53" spans="2:7" s="558" customFormat="1" ht="11.25" customHeight="1" x14ac:dyDescent="0.2">
      <c r="B53" s="568">
        <f>Notas!B64</f>
        <v>18435.109999999997</v>
      </c>
      <c r="C53" s="561"/>
      <c r="D53" s="561" t="s">
        <v>11</v>
      </c>
      <c r="E53" s="561">
        <f>Notas!E64</f>
        <v>36870.230000000003</v>
      </c>
      <c r="F53" s="572"/>
      <c r="G53" s="552">
        <f>Notas!R64</f>
        <v>721.94999999999993</v>
      </c>
    </row>
    <row r="54" spans="2:7" s="558" customFormat="1" ht="11.25" customHeight="1" x14ac:dyDescent="0.2">
      <c r="B54" s="568">
        <f>Notas!B65</f>
        <v>36870.240000000005</v>
      </c>
      <c r="C54" s="561"/>
      <c r="D54" s="561" t="s">
        <v>11</v>
      </c>
      <c r="E54" s="561">
        <f>Notas!E65</f>
        <v>55305.35</v>
      </c>
      <c r="F54" s="572"/>
      <c r="G54" s="552">
        <f>Notas!R65</f>
        <v>989.19999999999993</v>
      </c>
    </row>
    <row r="55" spans="2:7" s="558" customFormat="1" ht="11.25" customHeight="1" x14ac:dyDescent="0.2">
      <c r="B55" s="568">
        <f>Notas!B66</f>
        <v>55305.36</v>
      </c>
      <c r="C55" s="561"/>
      <c r="D55" s="561" t="s">
        <v>11</v>
      </c>
      <c r="E55" s="561">
        <f>Notas!E66</f>
        <v>73740.490000000005</v>
      </c>
      <c r="F55" s="572"/>
      <c r="G55" s="552">
        <f>Notas!R66</f>
        <v>1202.9399999999998</v>
      </c>
    </row>
    <row r="56" spans="2:7" s="558" customFormat="1" ht="11.25" customHeight="1" x14ac:dyDescent="0.2">
      <c r="B56" s="568">
        <f>Notas!B67</f>
        <v>73740.5</v>
      </c>
      <c r="C56" s="561"/>
      <c r="D56" s="561" t="s">
        <v>11</v>
      </c>
      <c r="E56" s="561">
        <f>Notas!E67</f>
        <v>98320.639999999999</v>
      </c>
      <c r="F56" s="572"/>
      <c r="G56" s="552">
        <f>Notas!R67</f>
        <v>2097.33</v>
      </c>
    </row>
    <row r="57" spans="2:7" s="558" customFormat="1" ht="11.25" customHeight="1" x14ac:dyDescent="0.2">
      <c r="B57" s="568">
        <f>Notas!B68</f>
        <v>98320.65</v>
      </c>
      <c r="C57" s="561"/>
      <c r="D57" s="561" t="s">
        <v>11</v>
      </c>
      <c r="E57" s="561">
        <f>Notas!E68</f>
        <v>122900.81</v>
      </c>
      <c r="F57" s="572"/>
      <c r="G57" s="552">
        <f>Notas!R68</f>
        <v>2467.8799999999997</v>
      </c>
    </row>
    <row r="58" spans="2:7" s="558" customFormat="1" ht="11.25" customHeight="1" x14ac:dyDescent="0.2">
      <c r="B58" s="568">
        <f>Notas!B69</f>
        <v>122900.81999999999</v>
      </c>
      <c r="C58" s="561"/>
      <c r="D58" s="561" t="s">
        <v>11</v>
      </c>
      <c r="E58" s="561">
        <f>Notas!E69</f>
        <v>245801.64</v>
      </c>
      <c r="F58" s="572"/>
      <c r="G58" s="552">
        <f>Notas!R69</f>
        <v>3322.9799999999996</v>
      </c>
    </row>
    <row r="59" spans="2:7" s="558" customFormat="1" ht="11.25" customHeight="1" x14ac:dyDescent="0.2">
      <c r="B59" s="568">
        <f>Notas!B70</f>
        <v>245801.65000000002</v>
      </c>
      <c r="C59" s="561"/>
      <c r="D59" s="561" t="s">
        <v>11</v>
      </c>
      <c r="E59" s="561">
        <f>Notas!E70</f>
        <v>491603.3</v>
      </c>
      <c r="F59" s="572"/>
      <c r="G59" s="552">
        <f>Notas!R70</f>
        <v>3562.3299999999995</v>
      </c>
    </row>
    <row r="60" spans="2:7" s="558" customFormat="1" ht="11.25" customHeight="1" x14ac:dyDescent="0.2">
      <c r="B60" s="553" t="s">
        <v>51</v>
      </c>
      <c r="C60" s="554">
        <f>C13</f>
        <v>464455.58</v>
      </c>
      <c r="D60" s="1127" t="str">
        <f>D13</f>
        <v>A cada 116.113,88 cobrar mais</v>
      </c>
      <c r="E60" s="1127"/>
      <c r="F60" s="551"/>
      <c r="G60" s="552">
        <f>Notas!R71</f>
        <v>311.47000000000003</v>
      </c>
    </row>
    <row r="61" spans="2:7" s="558" customFormat="1" ht="14.25" customHeight="1" x14ac:dyDescent="0.2">
      <c r="B61" s="571" t="s">
        <v>141</v>
      </c>
      <c r="C61" s="561"/>
      <c r="D61" s="561"/>
      <c r="E61" s="561"/>
      <c r="F61" s="572"/>
      <c r="G61" s="552"/>
    </row>
    <row r="62" spans="2:7" s="558" customFormat="1" ht="12.75" customHeight="1" x14ac:dyDescent="0.2">
      <c r="B62" s="568" t="s">
        <v>142</v>
      </c>
      <c r="C62" s="561"/>
      <c r="D62" s="561"/>
      <c r="E62" s="561"/>
      <c r="F62" s="572"/>
      <c r="G62" s="552">
        <f>Notas!R73</f>
        <v>407.93999999999994</v>
      </c>
    </row>
    <row r="63" spans="2:7" s="558" customFormat="1" ht="12.75" customHeight="1" x14ac:dyDescent="0.2">
      <c r="B63" s="568" t="s">
        <v>90</v>
      </c>
      <c r="C63" s="561"/>
      <c r="D63" s="561"/>
      <c r="E63" s="561"/>
      <c r="F63" s="572"/>
      <c r="G63" s="552">
        <f>Notas!R74</f>
        <v>111.55</v>
      </c>
    </row>
    <row r="64" spans="2:7" s="558" customFormat="1" ht="12.75" customHeight="1" x14ac:dyDescent="0.2">
      <c r="B64" s="568" t="s">
        <v>144</v>
      </c>
      <c r="C64" s="561"/>
      <c r="D64" s="561"/>
      <c r="E64" s="561"/>
      <c r="F64" s="572"/>
      <c r="G64" s="552">
        <f>Notas!R75</f>
        <v>111.55</v>
      </c>
    </row>
    <row r="65" spans="2:7" s="558" customFormat="1" ht="12.75" customHeight="1" x14ac:dyDescent="0.2">
      <c r="B65" s="568" t="s">
        <v>576</v>
      </c>
      <c r="C65" s="561"/>
      <c r="D65" s="561"/>
      <c r="E65" s="561"/>
      <c r="F65" s="572"/>
      <c r="G65" s="552">
        <f>Notas!R76</f>
        <v>262.38</v>
      </c>
    </row>
    <row r="66" spans="2:7" s="558" customFormat="1" ht="12.75" customHeight="1" x14ac:dyDescent="0.2">
      <c r="B66" s="571" t="s">
        <v>542</v>
      </c>
      <c r="C66" s="561"/>
      <c r="D66" s="561"/>
      <c r="E66" s="561"/>
      <c r="F66" s="572"/>
      <c r="G66" s="552">
        <f>Notas!R77</f>
        <v>26.840000000000003</v>
      </c>
    </row>
    <row r="67" spans="2:7" s="558" customFormat="1" ht="12.75" customHeight="1" x14ac:dyDescent="0.2">
      <c r="B67" s="571" t="s">
        <v>147</v>
      </c>
      <c r="C67" s="561"/>
      <c r="D67" s="561"/>
      <c r="E67" s="561"/>
      <c r="F67" s="572"/>
      <c r="G67" s="552">
        <f>Notas!R78</f>
        <v>26.7</v>
      </c>
    </row>
    <row r="68" spans="2:7" s="558" customFormat="1" ht="12.75" customHeight="1" x14ac:dyDescent="0.2">
      <c r="B68" s="571" t="s">
        <v>577</v>
      </c>
      <c r="C68" s="561"/>
      <c r="D68" s="561"/>
      <c r="E68" s="561"/>
      <c r="F68" s="572"/>
      <c r="G68" s="552">
        <f>Notas!R79</f>
        <v>96.399999999999991</v>
      </c>
    </row>
    <row r="69" spans="2:7" s="558" customFormat="1" ht="12.75" customHeight="1" x14ac:dyDescent="0.2">
      <c r="B69" s="571" t="s">
        <v>248</v>
      </c>
      <c r="C69" s="561"/>
      <c r="D69" s="561"/>
      <c r="E69" s="561"/>
      <c r="F69" s="572"/>
      <c r="G69" s="552">
        <v>0</v>
      </c>
    </row>
    <row r="70" spans="2:7" s="558" customFormat="1" ht="12.75" customHeight="1" x14ac:dyDescent="0.2">
      <c r="B70" s="568" t="s">
        <v>249</v>
      </c>
      <c r="C70" s="561"/>
      <c r="D70" s="561"/>
      <c r="E70" s="561"/>
      <c r="F70" s="572"/>
      <c r="G70" s="552">
        <f>Notas!R81</f>
        <v>998.18</v>
      </c>
    </row>
    <row r="71" spans="2:7" s="558" customFormat="1" ht="12.75" customHeight="1" x14ac:dyDescent="0.2">
      <c r="B71" s="571" t="s">
        <v>250</v>
      </c>
      <c r="C71" s="561"/>
      <c r="D71" s="561"/>
      <c r="E71" s="561"/>
      <c r="F71" s="572"/>
      <c r="G71" s="552">
        <f>Notas!R82</f>
        <v>564.98</v>
      </c>
    </row>
    <row r="72" spans="2:7" s="558" customFormat="1" ht="12.75" customHeight="1" x14ac:dyDescent="0.2">
      <c r="B72" s="571" t="s">
        <v>148</v>
      </c>
      <c r="C72" s="561"/>
      <c r="D72" s="561"/>
      <c r="E72" s="561"/>
      <c r="F72" s="572"/>
      <c r="G72" s="552">
        <v>0</v>
      </c>
    </row>
    <row r="73" spans="2:7" s="558" customFormat="1" ht="12.75" customHeight="1" x14ac:dyDescent="0.2">
      <c r="B73" s="568" t="s">
        <v>149</v>
      </c>
      <c r="C73" s="561"/>
      <c r="D73" s="561"/>
      <c r="E73" s="561"/>
      <c r="F73" s="572"/>
      <c r="G73" s="552">
        <f>Notas!R84</f>
        <v>738.25000000000011</v>
      </c>
    </row>
    <row r="74" spans="2:7" s="558" customFormat="1" ht="12.75" customHeight="1" x14ac:dyDescent="0.2">
      <c r="B74" s="568" t="s">
        <v>150</v>
      </c>
      <c r="C74" s="561"/>
      <c r="D74" s="561"/>
      <c r="E74" s="561"/>
      <c r="F74" s="572"/>
      <c r="G74" s="552">
        <v>0</v>
      </c>
    </row>
    <row r="75" spans="2:7" s="558" customFormat="1" ht="12.75" customHeight="1" thickBot="1" x14ac:dyDescent="0.25">
      <c r="B75" s="571" t="s">
        <v>151</v>
      </c>
      <c r="C75" s="561"/>
      <c r="D75" s="561"/>
      <c r="E75" s="561"/>
      <c r="F75" s="572"/>
      <c r="G75" s="552">
        <f>Notas!R86</f>
        <v>45.459999999999994</v>
      </c>
    </row>
    <row r="76" spans="2:7" ht="12.75" customHeight="1" x14ac:dyDescent="0.2">
      <c r="B76" s="1130" t="s">
        <v>578</v>
      </c>
      <c r="C76" s="1132" t="s">
        <v>579</v>
      </c>
      <c r="D76" s="1132"/>
      <c r="E76" s="1132"/>
      <c r="F76" s="1132"/>
      <c r="G76" s="573">
        <f>Notas!R89</f>
        <v>44.859999999999992</v>
      </c>
    </row>
    <row r="77" spans="2:7" ht="13.5" thickBot="1" x14ac:dyDescent="0.25">
      <c r="B77" s="1131"/>
      <c r="C77" s="1133" t="s">
        <v>240</v>
      </c>
      <c r="D77" s="1133"/>
      <c r="E77" s="1133"/>
      <c r="F77" s="1133"/>
      <c r="G77" s="574">
        <f>Notas!R90</f>
        <v>41.989999999999995</v>
      </c>
    </row>
  </sheetData>
  <mergeCells count="15">
    <mergeCell ref="B76:B77"/>
    <mergeCell ref="C76:F76"/>
    <mergeCell ref="C77:F77"/>
    <mergeCell ref="B17:G17"/>
    <mergeCell ref="B19:F19"/>
    <mergeCell ref="B20:G20"/>
    <mergeCell ref="B21:F21"/>
    <mergeCell ref="B22:F22"/>
    <mergeCell ref="D60:E60"/>
    <mergeCell ref="B16:F16"/>
    <mergeCell ref="B2:E2"/>
    <mergeCell ref="F2:G2"/>
    <mergeCell ref="B3:F3"/>
    <mergeCell ref="D13:E13"/>
    <mergeCell ref="B15:F15"/>
  </mergeCells>
  <pageMargins left="0.19685039370078741" right="0.19685039370078741" top="0.19685039370078741" bottom="0.19685039370078741" header="0.31496062992125984" footer="0.11811023622047245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</vt:i4>
      </vt:variant>
    </vt:vector>
  </HeadingPairs>
  <TitlesOfParts>
    <vt:vector size="14" baseType="lpstr">
      <vt:lpstr>MATRIZ</vt:lpstr>
      <vt:lpstr>Notas</vt:lpstr>
      <vt:lpstr>Notas-AtoAdicional</vt:lpstr>
      <vt:lpstr>R G I</vt:lpstr>
      <vt:lpstr>PROTESTO</vt:lpstr>
      <vt:lpstr>RCPJ</vt:lpstr>
      <vt:lpstr>RTD</vt:lpstr>
      <vt:lpstr>Resumo</vt:lpstr>
      <vt:lpstr>Notas-Mural</vt:lpstr>
      <vt:lpstr>RGI-Mural</vt:lpstr>
      <vt:lpstr>Protesto-Mural</vt:lpstr>
      <vt:lpstr>PJ-Mural</vt:lpstr>
      <vt:lpstr>TD-Mural</vt:lpstr>
      <vt:lpstr>RCPJ!Area_de_impressao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</dc:creator>
  <cp:lastModifiedBy>DrJorge</cp:lastModifiedBy>
  <cp:lastPrinted>2025-03-18T20:59:48Z</cp:lastPrinted>
  <dcterms:created xsi:type="dcterms:W3CDTF">2023-01-05T18:26:35Z</dcterms:created>
  <dcterms:modified xsi:type="dcterms:W3CDTF">2025-03-19T13:11:30Z</dcterms:modified>
</cp:coreProperties>
</file>